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9320" windowHeight="10050" activeTab="2"/>
  </bookViews>
  <sheets>
    <sheet name="Esercizio 5.1" sheetId="5" r:id="rId1"/>
    <sheet name="Esercizio 5.2" sheetId="1" r:id="rId2"/>
    <sheet name="Esercizio 5.3" sheetId="13" r:id="rId3"/>
  </sheets>
  <calcPr calcId="145621"/>
</workbook>
</file>

<file path=xl/calcChain.xml><?xml version="1.0" encoding="utf-8"?>
<calcChain xmlns="http://schemas.openxmlformats.org/spreadsheetml/2006/main">
  <c r="C60" i="13" l="1"/>
  <c r="C52" i="13"/>
  <c r="E38" i="13"/>
  <c r="C42" i="13"/>
  <c r="C38" i="13"/>
  <c r="C34" i="13"/>
  <c r="D19" i="13"/>
  <c r="C56" i="1"/>
  <c r="C58" i="1" s="1"/>
  <c r="C60" i="1" s="1"/>
  <c r="F38" i="1"/>
  <c r="F36" i="1"/>
  <c r="C36" i="1"/>
  <c r="C44" i="1" s="1"/>
  <c r="K20" i="1"/>
  <c r="K21" i="1"/>
  <c r="K22" i="1"/>
  <c r="K23" i="1"/>
  <c r="K24" i="1" s="1"/>
  <c r="C24" i="1" s="1"/>
  <c r="K19" i="1"/>
  <c r="C11" i="1"/>
  <c r="C13" i="1" s="1"/>
  <c r="B4" i="1"/>
  <c r="F29" i="1" l="1"/>
  <c r="J29" i="1"/>
  <c r="N29" i="1"/>
  <c r="I29" i="1"/>
  <c r="G29" i="1"/>
  <c r="K29" i="1"/>
  <c r="C29" i="1"/>
  <c r="D29" i="1"/>
  <c r="H29" i="1"/>
  <c r="L29" i="1"/>
  <c r="E29" i="1"/>
  <c r="M29" i="1"/>
  <c r="C43" i="1"/>
  <c r="C45" i="1" s="1"/>
  <c r="C56" i="13"/>
  <c r="G35" i="13"/>
  <c r="C29" i="13"/>
  <c r="G25" i="13"/>
  <c r="C11" i="13"/>
  <c r="C13" i="13" s="1"/>
  <c r="C9" i="13"/>
  <c r="B4" i="13"/>
  <c r="C16" i="13" s="1"/>
  <c r="C17" i="13" s="1"/>
  <c r="B29" i="1" l="1"/>
  <c r="C18" i="13"/>
  <c r="D34" i="13" l="1"/>
  <c r="F34" i="13" s="1"/>
  <c r="F35" i="13" s="1"/>
  <c r="C19" i="13"/>
  <c r="C20" i="13" s="1"/>
  <c r="C30" i="13" s="1"/>
  <c r="D35" i="13"/>
  <c r="C61" i="13" s="1"/>
  <c r="C37" i="1"/>
  <c r="C38" i="1" s="1"/>
  <c r="F39" i="1" s="1"/>
  <c r="F40" i="1" s="1"/>
  <c r="C14" i="1"/>
  <c r="C15" i="1" s="1"/>
  <c r="V60" i="13"/>
  <c r="R60" i="13"/>
  <c r="N60" i="13"/>
  <c r="J60" i="13"/>
  <c r="F60" i="13"/>
  <c r="K60" i="13"/>
  <c r="U60" i="13"/>
  <c r="Q60" i="13"/>
  <c r="M60" i="13"/>
  <c r="I60" i="13"/>
  <c r="E60" i="13"/>
  <c r="S60" i="13"/>
  <c r="G60" i="13"/>
  <c r="T60" i="13"/>
  <c r="P60" i="13"/>
  <c r="L60" i="13"/>
  <c r="H60" i="13"/>
  <c r="D60" i="13"/>
  <c r="O60" i="13"/>
  <c r="C43" i="13" l="1"/>
  <c r="E35" i="13"/>
  <c r="C35" i="13" l="1"/>
  <c r="C62" i="13"/>
  <c r="C44" i="13"/>
  <c r="C47" i="13"/>
  <c r="V61" i="13"/>
  <c r="R61" i="13"/>
  <c r="N61" i="13"/>
  <c r="J61" i="13"/>
  <c r="F61" i="13"/>
  <c r="O61" i="13"/>
  <c r="U61" i="13"/>
  <c r="Q61" i="13"/>
  <c r="M61" i="13"/>
  <c r="I61" i="13"/>
  <c r="E61" i="13"/>
  <c r="K61" i="13"/>
  <c r="T61" i="13"/>
  <c r="P61" i="13"/>
  <c r="L61" i="13"/>
  <c r="H61" i="13"/>
  <c r="D61" i="13"/>
  <c r="S61" i="13"/>
  <c r="G61" i="13"/>
  <c r="E62" i="13" l="1"/>
  <c r="E63" i="13" s="1"/>
  <c r="C63" i="13"/>
  <c r="T43" i="13" l="1"/>
  <c r="T44" i="13" s="1"/>
  <c r="P43" i="13"/>
  <c r="P44" i="13" s="1"/>
  <c r="L43" i="13"/>
  <c r="L44" i="13" s="1"/>
  <c r="H43" i="13"/>
  <c r="H44" i="13" s="1"/>
  <c r="D43" i="13"/>
  <c r="D44" i="13" s="1"/>
  <c r="S43" i="13"/>
  <c r="S44" i="13" s="1"/>
  <c r="O43" i="13"/>
  <c r="O44" i="13" s="1"/>
  <c r="K43" i="13"/>
  <c r="K44" i="13" s="1"/>
  <c r="G43" i="13"/>
  <c r="G44" i="13" s="1"/>
  <c r="Q43" i="13"/>
  <c r="Q44" i="13" s="1"/>
  <c r="I43" i="13"/>
  <c r="I44" i="13" s="1"/>
  <c r="V43" i="13"/>
  <c r="V44" i="13" s="1"/>
  <c r="R43" i="13"/>
  <c r="R44" i="13" s="1"/>
  <c r="N43" i="13"/>
  <c r="N44" i="13" s="1"/>
  <c r="J43" i="13"/>
  <c r="J44" i="13" s="1"/>
  <c r="F43" i="13"/>
  <c r="F44" i="13" s="1"/>
  <c r="U43" i="13"/>
  <c r="U44" i="13" s="1"/>
  <c r="M43" i="13"/>
  <c r="M44" i="13" s="1"/>
  <c r="E43" i="13"/>
  <c r="E44" i="13" s="1"/>
  <c r="D62" i="13" l="1"/>
  <c r="D63" i="13" s="1"/>
  <c r="V45" i="13"/>
  <c r="V46" i="13" s="1"/>
  <c r="R45" i="13"/>
  <c r="N45" i="13"/>
  <c r="J45" i="13"/>
  <c r="F45" i="13"/>
  <c r="U45" i="13"/>
  <c r="Q45" i="13"/>
  <c r="M45" i="13"/>
  <c r="I45" i="13"/>
  <c r="E45" i="13"/>
  <c r="S45" i="13"/>
  <c r="G45" i="13"/>
  <c r="T45" i="13"/>
  <c r="P45" i="13"/>
  <c r="L45" i="13"/>
  <c r="H45" i="13"/>
  <c r="O45" i="13"/>
  <c r="K45" i="13"/>
  <c r="B50" i="1"/>
  <c r="F50" i="1" s="1"/>
  <c r="Q62" i="13" l="1"/>
  <c r="Q63" i="13" s="1"/>
  <c r="P46" i="13"/>
  <c r="F62" i="13"/>
  <c r="F63" i="13" s="1"/>
  <c r="E46" i="13"/>
  <c r="S62" i="13"/>
  <c r="S63" i="13" s="1"/>
  <c r="R46" i="13"/>
  <c r="O46" i="13"/>
  <c r="P62" i="13"/>
  <c r="P63" i="13" s="1"/>
  <c r="U62" i="13"/>
  <c r="U63" i="13" s="1"/>
  <c r="T46" i="13"/>
  <c r="J62" i="13"/>
  <c r="J63" i="13" s="1"/>
  <c r="I46" i="13"/>
  <c r="F46" i="13"/>
  <c r="G62" i="13"/>
  <c r="G63" i="13" s="1"/>
  <c r="K46" i="13"/>
  <c r="L62" i="13"/>
  <c r="L63" i="13" s="1"/>
  <c r="V62" i="13"/>
  <c r="V63" i="13" s="1"/>
  <c r="U46" i="13"/>
  <c r="I62" i="13"/>
  <c r="I63" i="13" s="1"/>
  <c r="H46" i="13"/>
  <c r="G46" i="13"/>
  <c r="H62" i="13"/>
  <c r="H63" i="13" s="1"/>
  <c r="N62" i="13"/>
  <c r="N63" i="13" s="1"/>
  <c r="M46" i="13"/>
  <c r="J46" i="13"/>
  <c r="K62" i="13"/>
  <c r="K63" i="13" s="1"/>
  <c r="M62" i="13"/>
  <c r="M63" i="13" s="1"/>
  <c r="L46" i="13"/>
  <c r="S46" i="13"/>
  <c r="T62" i="13"/>
  <c r="T63" i="13" s="1"/>
  <c r="R62" i="13"/>
  <c r="R63" i="13" s="1"/>
  <c r="Q46" i="13"/>
  <c r="N46" i="13"/>
  <c r="O62" i="13"/>
  <c r="O63" i="13" s="1"/>
  <c r="C46" i="13" l="1"/>
  <c r="C53" i="13" s="1"/>
  <c r="D53" i="13"/>
  <c r="C64" i="13"/>
</calcChain>
</file>

<file path=xl/sharedStrings.xml><?xml version="1.0" encoding="utf-8"?>
<sst xmlns="http://schemas.openxmlformats.org/spreadsheetml/2006/main" count="232" uniqueCount="132">
  <si>
    <t>kWh</t>
  </si>
  <si>
    <t>W</t>
  </si>
  <si>
    <t>gen</t>
  </si>
  <si>
    <t>feb</t>
  </si>
  <si>
    <t>mar</t>
  </si>
  <si>
    <t>apr</t>
  </si>
  <si>
    <t>mag</t>
  </si>
  <si>
    <t>giu</t>
  </si>
  <si>
    <t>lug</t>
  </si>
  <si>
    <t>ago</t>
  </si>
  <si>
    <t>set</t>
  </si>
  <si>
    <t>ott</t>
  </si>
  <si>
    <t>nov</t>
  </si>
  <si>
    <t>dic</t>
  </si>
  <si>
    <t>2. Calcolo baseline</t>
  </si>
  <si>
    <t>1. Misura dei consumi (attraverso le bollette)</t>
  </si>
  <si>
    <t>2.1 Misura attraverso lo smart meter</t>
  </si>
  <si>
    <t>Consumo 24 lampade accese</t>
  </si>
  <si>
    <t>Consumo 24 lampade spente</t>
  </si>
  <si>
    <t>Consumo imputabile alle lampade</t>
  </si>
  <si>
    <t>Durata misura</t>
  </si>
  <si>
    <t>Potenza media assorbita</t>
  </si>
  <si>
    <t>2.2 Calcolo delle ore di funzionamento</t>
  </si>
  <si>
    <t>Ore di funzionamento</t>
  </si>
  <si>
    <t>lun</t>
  </si>
  <si>
    <t>mer</t>
  </si>
  <si>
    <t>gio</t>
  </si>
  <si>
    <t>ven</t>
  </si>
  <si>
    <t>sab</t>
  </si>
  <si>
    <t>dom</t>
  </si>
  <si>
    <t>Settimane/anno</t>
  </si>
  <si>
    <t>Ore/settimana</t>
  </si>
  <si>
    <t>Ore/anno</t>
  </si>
  <si>
    <t>tot</t>
  </si>
  <si>
    <t>ore</t>
  </si>
  <si>
    <t>ore/anno</t>
  </si>
  <si>
    <t>Baseline</t>
  </si>
  <si>
    <t>kWh/anno</t>
  </si>
  <si>
    <t>Aggiustamento ore accensione</t>
  </si>
  <si>
    <t>Numero settimane</t>
  </si>
  <si>
    <t>Baseline (potenza media assorbita)</t>
  </si>
  <si>
    <t>Baseline (consumi)</t>
  </si>
  <si>
    <t>Aula 1</t>
  </si>
  <si>
    <t>Aula 2</t>
  </si>
  <si>
    <t>Aula 3</t>
  </si>
  <si>
    <t>Uffici</t>
  </si>
  <si>
    <t>Atrio/corridoio</t>
  </si>
  <si>
    <t>n. lamp.</t>
  </si>
  <si>
    <t>Ore accensione equivalenti</t>
  </si>
  <si>
    <t>3. Calcolo dei consumi e previsione dei risparmi</t>
  </si>
  <si>
    <t>Numero lampade</t>
  </si>
  <si>
    <t>Potenza unitaria</t>
  </si>
  <si>
    <t>Prima dell'intervento</t>
  </si>
  <si>
    <t>Dopo l'intervento</t>
  </si>
  <si>
    <t>pz.</t>
  </si>
  <si>
    <t>Potenza complessiva</t>
  </si>
  <si>
    <t>Consumo previsto</t>
  </si>
  <si>
    <t>%</t>
  </si>
  <si>
    <t>Risparmio previsto</t>
  </si>
  <si>
    <t>Verifica errore di calcolo</t>
  </si>
  <si>
    <t>Calcolo</t>
  </si>
  <si>
    <t>Scostamento</t>
  </si>
  <si>
    <t>4. Misura dei consumi dopo l'intervento</t>
  </si>
  <si>
    <t>Differenza</t>
  </si>
  <si>
    <t>5. Verifica e normalizzazione consumi</t>
  </si>
  <si>
    <t>Consumo normalizzato</t>
  </si>
  <si>
    <t>u.d.m.</t>
  </si>
  <si>
    <t>h</t>
  </si>
  <si>
    <t>Baseline e costi energetici di riferimento</t>
  </si>
  <si>
    <t>Consumi elettrici (bollette)</t>
  </si>
  <si>
    <t>Costi energia elettrica 2015</t>
  </si>
  <si>
    <t>€</t>
  </si>
  <si>
    <t>€/kWh</t>
  </si>
  <si>
    <t>€/anno</t>
  </si>
  <si>
    <t>Canone annuo massimo</t>
  </si>
  <si>
    <t>Consumi 2015</t>
  </si>
  <si>
    <t>Ripartizione dei risparmi tra le parti</t>
  </si>
  <si>
    <t>Pre intervento</t>
  </si>
  <si>
    <t>Post intervento</t>
  </si>
  <si>
    <t>Confronto spese energia elettrica</t>
  </si>
  <si>
    <t xml:space="preserve">  lampade</t>
  </si>
  <si>
    <t>canone</t>
  </si>
  <si>
    <t>di cui:</t>
  </si>
  <si>
    <t>altro</t>
  </si>
  <si>
    <t>Risparmio alla ESCO</t>
  </si>
  <si>
    <t>Anno:</t>
  </si>
  <si>
    <t>Risparmio al beneficiario</t>
  </si>
  <si>
    <t>Adeguamento ISTAT sul canone</t>
  </si>
  <si>
    <t>Tasso VAN atteso dalla ESCO</t>
  </si>
  <si>
    <t>Costo intervento</t>
  </si>
  <si>
    <t>Investimento iniziale</t>
  </si>
  <si>
    <t>Canone</t>
  </si>
  <si>
    <t>Flussi di cassa</t>
  </si>
  <si>
    <t>VAN</t>
  </si>
  <si>
    <t>Determinazione della durata del contratto e del numero di rate del canone (analisi finanziaria lato ESCO)</t>
  </si>
  <si>
    <t>Verifica ammissibilità intervento</t>
  </si>
  <si>
    <t>Vita utile lampade</t>
  </si>
  <si>
    <t>Ore di utilizzo all'anno</t>
  </si>
  <si>
    <t>anni</t>
  </si>
  <si>
    <t>h/anno</t>
  </si>
  <si>
    <t>Durata contratto (rate)</t>
  </si>
  <si>
    <t>Vantaggi per il beneficiario e valore del risparmio (analisi finanziaria lato P.A.)</t>
  </si>
  <si>
    <t>Adeguamento ISTAT sull'energia</t>
  </si>
  <si>
    <t>Tasso VAN per la P.A.</t>
  </si>
  <si>
    <t>Costi in bolletta senza intervento</t>
  </si>
  <si>
    <t>Costi in bolletta con intervento</t>
  </si>
  <si>
    <t>Risparmio annuo</t>
  </si>
  <si>
    <t>VA del risparmio (su 20 anni)</t>
  </si>
  <si>
    <t>Tempo di ritorno semplice</t>
  </si>
  <si>
    <t>Vita utile / durata contratto (&gt;1)</t>
  </si>
  <si>
    <t>Scuola dell'infanzia</t>
  </si>
  <si>
    <t>5. Uffici</t>
  </si>
  <si>
    <t>9. Contratto di fornitura elettrica</t>
  </si>
  <si>
    <t>Costo energia</t>
  </si>
  <si>
    <t>Baseline monetaria</t>
  </si>
  <si>
    <t>Risparmio stimato</t>
  </si>
  <si>
    <t>Canone massimo</t>
  </si>
  <si>
    <t>IVA esclusa</t>
  </si>
  <si>
    <t>1.1 
6 lampade da 36W</t>
  </si>
  <si>
    <t>2.1
6 lampade da 36W</t>
  </si>
  <si>
    <t>3.1 
6 lampade da 36W</t>
  </si>
  <si>
    <t>4.1 
4 lampade da 36W</t>
  </si>
  <si>
    <t>5.1 
2 lampade da 36W</t>
  </si>
  <si>
    <t>5.2 
2 computer,
1 stampante,
1 fotocopiatrice</t>
  </si>
  <si>
    <t>6. 
Servizi igienici</t>
  </si>
  <si>
    <t>7. 
Servizi igienici</t>
  </si>
  <si>
    <t>7. 
Ripostiglio</t>
  </si>
  <si>
    <t>8. 
C.T.</t>
  </si>
  <si>
    <t>4. 
Atrio</t>
  </si>
  <si>
    <t>3. 
Aula</t>
  </si>
  <si>
    <t>2. 
Aula</t>
  </si>
  <si>
    <t>1. 
Aula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</si>
</sst>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#,##0.0"/>
    <numFmt numFmtId="166" formatCode="0.0"/>
    <numFmt numFmtId="167" formatCode="0.0%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0"/>
      <name val="Trebuchet MS"/>
      <family val="2"/>
    </font>
    <font>
      <sz val="11"/>
      <name val="Trebuchet MS"/>
      <family val="2"/>
    </font>
    <font>
      <sz val="11"/>
      <color rgb="FFFF0000"/>
      <name val="Trebuchet MS"/>
      <family val="2"/>
    </font>
    <font>
      <b/>
      <sz val="11"/>
      <name val="Trebuchet MS"/>
      <family val="2"/>
    </font>
    <font>
      <b/>
      <sz val="11"/>
      <color theme="0" tint="-0.14999847407452621"/>
      <name val="Trebuchet MS"/>
      <family val="2"/>
    </font>
  </fonts>
  <fills count="41">
    <fill>
      <patternFill patternType="none"/>
    </fill>
    <fill>
      <patternFill patternType="gray125"/>
    </fill>
    <fill>
      <patternFill patternType="solid">
        <fgColor rgb="FF7E93A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dashed">
        <color auto="1"/>
      </left>
      <right/>
      <top/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4" applyNumberFormat="0" applyFill="0" applyAlignment="0" applyProtection="0"/>
    <xf numFmtId="0" fontId="4" fillId="0" borderId="5" applyNumberFormat="0" applyFill="0" applyAlignment="0" applyProtection="0"/>
    <xf numFmtId="0" fontId="5" fillId="0" borderId="6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4" borderId="0" applyNumberFormat="0" applyBorder="0" applyAlignment="0" applyProtection="0"/>
    <xf numFmtId="0" fontId="8" fillId="5" borderId="0" applyNumberFormat="0" applyBorder="0" applyAlignment="0" applyProtection="0"/>
    <xf numFmtId="0" fontId="9" fillId="6" borderId="7" applyNumberFormat="0" applyAlignment="0" applyProtection="0"/>
    <xf numFmtId="0" fontId="10" fillId="7" borderId="8" applyNumberFormat="0" applyAlignment="0" applyProtection="0"/>
    <xf numFmtId="0" fontId="11" fillId="7" borderId="7" applyNumberFormat="0" applyAlignment="0" applyProtection="0"/>
    <xf numFmtId="0" fontId="12" fillId="0" borderId="9" applyNumberFormat="0" applyFill="0" applyAlignment="0" applyProtection="0"/>
    <xf numFmtId="0" fontId="13" fillId="8" borderId="10" applyNumberFormat="0" applyAlignment="0" applyProtection="0"/>
    <xf numFmtId="0" fontId="14" fillId="0" borderId="0" applyNumberFormat="0" applyFill="0" applyBorder="0" applyAlignment="0" applyProtection="0"/>
    <xf numFmtId="0" fontId="1" fillId="9" borderId="11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2" applyNumberFormat="0" applyFill="0" applyAlignment="0" applyProtection="0"/>
    <xf numFmtId="0" fontId="17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7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7" fillId="33" borderId="0" applyNumberFormat="0" applyBorder="0" applyAlignment="0" applyProtection="0"/>
    <xf numFmtId="0" fontId="18" fillId="0" borderId="0"/>
    <xf numFmtId="164" fontId="18" fillId="0" borderId="0" applyFont="0" applyFill="0" applyBorder="0" applyAlignment="0" applyProtection="0"/>
  </cellStyleXfs>
  <cellXfs count="128">
    <xf numFmtId="0" fontId="0" fillId="0" borderId="0" xfId="0"/>
    <xf numFmtId="0" fontId="19" fillId="0" borderId="0" xfId="0" applyFont="1" applyAlignment="1">
      <alignment horizontal="left" vertical="center"/>
    </xf>
    <xf numFmtId="1" fontId="20" fillId="0" borderId="0" xfId="0" applyNumberFormat="1" applyFont="1" applyAlignment="1">
      <alignment horizontal="right" vertical="center"/>
    </xf>
    <xf numFmtId="165" fontId="20" fillId="0" borderId="0" xfId="0" applyNumberFormat="1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1" fontId="21" fillId="2" borderId="1" xfId="0" applyNumberFormat="1" applyFont="1" applyFill="1" applyBorder="1" applyAlignment="1">
      <alignment horizontal="center" vertical="center"/>
    </xf>
    <xf numFmtId="165" fontId="21" fillId="2" borderId="1" xfId="0" applyNumberFormat="1" applyFont="1" applyFill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1" fontId="20" fillId="0" borderId="0" xfId="0" applyNumberFormat="1" applyFont="1" applyAlignment="1">
      <alignment horizontal="center" vertical="center"/>
    </xf>
    <xf numFmtId="0" fontId="20" fillId="0" borderId="1" xfId="0" applyFont="1" applyBorder="1" applyAlignment="1">
      <alignment horizontal="left" vertical="center"/>
    </xf>
    <xf numFmtId="2" fontId="20" fillId="0" borderId="1" xfId="0" applyNumberFormat="1" applyFont="1" applyBorder="1" applyAlignment="1">
      <alignment horizontal="center" vertical="center"/>
    </xf>
    <xf numFmtId="165" fontId="20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left" vertical="center"/>
    </xf>
    <xf numFmtId="2" fontId="19" fillId="0" borderId="1" xfId="0" applyNumberFormat="1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166" fontId="22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Border="1" applyAlignment="1">
      <alignment horizontal="left" vertical="center"/>
    </xf>
    <xf numFmtId="166" fontId="19" fillId="0" borderId="1" xfId="0" applyNumberFormat="1" applyFont="1" applyBorder="1" applyAlignment="1">
      <alignment horizontal="center" vertical="center"/>
    </xf>
    <xf numFmtId="166" fontId="20" fillId="0" borderId="1" xfId="0" applyNumberFormat="1" applyFont="1" applyBorder="1" applyAlignment="1">
      <alignment horizontal="left" vertical="center"/>
    </xf>
    <xf numFmtId="167" fontId="20" fillId="0" borderId="1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/>
    </xf>
    <xf numFmtId="0" fontId="19" fillId="0" borderId="1" xfId="0" applyFont="1" applyBorder="1" applyAlignment="1">
      <alignment horizontal="center" vertical="center"/>
    </xf>
    <xf numFmtId="165" fontId="23" fillId="0" borderId="1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1" fontId="21" fillId="2" borderId="1" xfId="0" applyNumberFormat="1" applyFont="1" applyFill="1" applyBorder="1" applyAlignment="1">
      <alignment horizontal="center" vertical="center"/>
    </xf>
    <xf numFmtId="1" fontId="19" fillId="0" borderId="1" xfId="0" applyNumberFormat="1" applyFont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3" fontId="20" fillId="0" borderId="1" xfId="0" applyNumberFormat="1" applyFont="1" applyBorder="1" applyAlignment="1">
      <alignment horizontal="center" vertical="center"/>
    </xf>
    <xf numFmtId="1" fontId="19" fillId="34" borderId="1" xfId="0" applyNumberFormat="1" applyFont="1" applyFill="1" applyBorder="1" applyAlignment="1">
      <alignment horizontal="center" vertical="center"/>
    </xf>
    <xf numFmtId="0" fontId="19" fillId="34" borderId="1" xfId="0" applyFont="1" applyFill="1" applyBorder="1" applyAlignment="1">
      <alignment horizontal="left" vertical="center"/>
    </xf>
    <xf numFmtId="166" fontId="19" fillId="34" borderId="1" xfId="0" applyNumberFormat="1" applyFont="1" applyFill="1" applyBorder="1" applyAlignment="1">
      <alignment horizontal="center" vertical="center"/>
    </xf>
    <xf numFmtId="165" fontId="19" fillId="34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/>
    </xf>
    <xf numFmtId="166" fontId="20" fillId="0" borderId="1" xfId="0" applyNumberFormat="1" applyFont="1" applyFill="1" applyBorder="1" applyAlignment="1">
      <alignment horizontal="center" vertical="center"/>
    </xf>
    <xf numFmtId="165" fontId="20" fillId="0" borderId="1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165" fontId="20" fillId="0" borderId="0" xfId="0" applyNumberFormat="1" applyFont="1" applyAlignment="1">
      <alignment horizontal="center" vertical="center" wrapText="1"/>
    </xf>
    <xf numFmtId="0" fontId="21" fillId="2" borderId="14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21" fillId="2" borderId="19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right" vertical="center"/>
    </xf>
    <xf numFmtId="0" fontId="20" fillId="34" borderId="1" xfId="0" applyFont="1" applyFill="1" applyBorder="1" applyAlignment="1">
      <alignment horizontal="left" vertical="center"/>
    </xf>
    <xf numFmtId="165" fontId="20" fillId="34" borderId="1" xfId="0" applyNumberFormat="1" applyFont="1" applyFill="1" applyBorder="1" applyAlignment="1">
      <alignment horizontal="center" vertical="center"/>
    </xf>
    <xf numFmtId="0" fontId="24" fillId="34" borderId="1" xfId="0" applyFont="1" applyFill="1" applyBorder="1" applyAlignment="1">
      <alignment horizontal="left" vertical="center"/>
    </xf>
    <xf numFmtId="2" fontId="19" fillId="34" borderId="1" xfId="0" applyNumberFormat="1" applyFont="1" applyFill="1" applyBorder="1" applyAlignment="1">
      <alignment horizontal="center" vertical="center"/>
    </xf>
    <xf numFmtId="165" fontId="22" fillId="0" borderId="1" xfId="0" applyNumberFormat="1" applyFont="1" applyBorder="1" applyAlignment="1">
      <alignment horizontal="center" vertical="center"/>
    </xf>
    <xf numFmtId="4" fontId="19" fillId="34" borderId="1" xfId="0" applyNumberFormat="1" applyFont="1" applyFill="1" applyBorder="1" applyAlignment="1">
      <alignment horizontal="center" vertical="center"/>
    </xf>
    <xf numFmtId="165" fontId="19" fillId="0" borderId="18" xfId="0" applyNumberFormat="1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165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165" fontId="21" fillId="0" borderId="0" xfId="0" applyNumberFormat="1" applyFont="1" applyFill="1" applyBorder="1" applyAlignment="1">
      <alignment horizontal="center" vertical="center" wrapText="1"/>
    </xf>
    <xf numFmtId="2" fontId="20" fillId="0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165" fontId="19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66" fontId="20" fillId="0" borderId="0" xfId="0" applyNumberFormat="1" applyFont="1" applyFill="1" applyBorder="1" applyAlignment="1">
      <alignment horizontal="center" vertical="center" wrapText="1"/>
    </xf>
    <xf numFmtId="166" fontId="22" fillId="0" borderId="0" xfId="0" applyNumberFormat="1" applyFont="1" applyFill="1" applyBorder="1" applyAlignment="1">
      <alignment horizontal="center" vertical="center" wrapText="1"/>
    </xf>
    <xf numFmtId="166" fontId="19" fillId="0" borderId="0" xfId="0" applyNumberFormat="1" applyFont="1" applyFill="1" applyBorder="1" applyAlignment="1">
      <alignment horizontal="center" vertical="center" wrapText="1"/>
    </xf>
    <xf numFmtId="167" fontId="20" fillId="0" borderId="0" xfId="0" applyNumberFormat="1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165" fontId="23" fillId="0" borderId="0" xfId="0" applyNumberFormat="1" applyFont="1" applyFill="1" applyBorder="1" applyAlignment="1">
      <alignment horizontal="center" vertical="center" wrapText="1"/>
    </xf>
    <xf numFmtId="1" fontId="20" fillId="0" borderId="13" xfId="0" applyNumberFormat="1" applyFont="1" applyFill="1" applyBorder="1" applyAlignment="1">
      <alignment horizontal="center" vertical="center" wrapText="1"/>
    </xf>
    <xf numFmtId="1" fontId="20" fillId="0" borderId="14" xfId="0" applyNumberFormat="1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0" fillId="0" borderId="14" xfId="0" applyFont="1" applyFill="1" applyBorder="1" applyAlignment="1">
      <alignment horizontal="center" vertical="center" wrapText="1"/>
    </xf>
    <xf numFmtId="0" fontId="20" fillId="0" borderId="3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20" fillId="0" borderId="17" xfId="0" applyFont="1" applyFill="1" applyBorder="1" applyAlignment="1">
      <alignment horizontal="center" vertical="center" wrapText="1"/>
    </xf>
    <xf numFmtId="1" fontId="21" fillId="0" borderId="3" xfId="0" applyNumberFormat="1" applyFont="1" applyFill="1" applyBorder="1" applyAlignment="1">
      <alignment horizontal="center" vertical="center" wrapText="1"/>
    </xf>
    <xf numFmtId="165" fontId="21" fillId="0" borderId="18" xfId="0" applyNumberFormat="1" applyFont="1" applyFill="1" applyBorder="1" applyAlignment="1">
      <alignment horizontal="center" vertical="center" wrapText="1"/>
    </xf>
    <xf numFmtId="0" fontId="21" fillId="0" borderId="18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165" fontId="20" fillId="0" borderId="3" xfId="0" applyNumberFormat="1" applyFont="1" applyFill="1" applyBorder="1" applyAlignment="1">
      <alignment horizontal="center" vertical="center" wrapText="1"/>
    </xf>
    <xf numFmtId="1" fontId="19" fillId="35" borderId="3" xfId="0" applyNumberFormat="1" applyFont="1" applyFill="1" applyBorder="1" applyAlignment="1">
      <alignment horizontal="center" vertical="center" wrapText="1"/>
    </xf>
    <xf numFmtId="1" fontId="19" fillId="35" borderId="2" xfId="0" applyNumberFormat="1" applyFont="1" applyFill="1" applyBorder="1" applyAlignment="1">
      <alignment horizontal="center" vertical="center" wrapText="1"/>
    </xf>
    <xf numFmtId="1" fontId="19" fillId="36" borderId="13" xfId="0" applyNumberFormat="1" applyFont="1" applyFill="1" applyBorder="1" applyAlignment="1">
      <alignment horizontal="center" vertical="center" wrapText="1"/>
    </xf>
    <xf numFmtId="1" fontId="19" fillId="36" borderId="17" xfId="0" applyNumberFormat="1" applyFont="1" applyFill="1" applyBorder="1" applyAlignment="1">
      <alignment horizontal="center" vertical="center" wrapText="1"/>
    </xf>
    <xf numFmtId="1" fontId="19" fillId="36" borderId="14" xfId="0" applyNumberFormat="1" applyFont="1" applyFill="1" applyBorder="1" applyAlignment="1">
      <alignment horizontal="center" vertical="center" wrapText="1"/>
    </xf>
    <xf numFmtId="1" fontId="19" fillId="36" borderId="16" xfId="0" applyNumberFormat="1" applyFont="1" applyFill="1" applyBorder="1" applyAlignment="1">
      <alignment horizontal="center" vertical="center" wrapText="1"/>
    </xf>
    <xf numFmtId="1" fontId="19" fillId="38" borderId="3" xfId="0" applyNumberFormat="1" applyFont="1" applyFill="1" applyBorder="1" applyAlignment="1">
      <alignment horizontal="center" vertical="center" wrapText="1"/>
    </xf>
    <xf numFmtId="1" fontId="19" fillId="38" borderId="2" xfId="0" applyNumberFormat="1" applyFont="1" applyFill="1" applyBorder="1" applyAlignment="1">
      <alignment horizontal="center" vertical="center" wrapText="1"/>
    </xf>
    <xf numFmtId="1" fontId="19" fillId="37" borderId="3" xfId="0" applyNumberFormat="1" applyFont="1" applyFill="1" applyBorder="1" applyAlignment="1">
      <alignment horizontal="center" vertical="center" wrapText="1"/>
    </xf>
    <xf numFmtId="1" fontId="19" fillId="37" borderId="2" xfId="0" applyNumberFormat="1" applyFont="1" applyFill="1" applyBorder="1" applyAlignment="1">
      <alignment horizontal="center" vertical="center" wrapText="1"/>
    </xf>
    <xf numFmtId="1" fontId="19" fillId="39" borderId="3" xfId="0" applyNumberFormat="1" applyFont="1" applyFill="1" applyBorder="1" applyAlignment="1">
      <alignment horizontal="center" vertical="center" wrapText="1"/>
    </xf>
    <xf numFmtId="1" fontId="19" fillId="39" borderId="2" xfId="0" applyNumberFormat="1" applyFont="1" applyFill="1" applyBorder="1" applyAlignment="1">
      <alignment horizontal="center" vertical="center" wrapText="1"/>
    </xf>
    <xf numFmtId="1" fontId="19" fillId="34" borderId="3" xfId="0" applyNumberFormat="1" applyFont="1" applyFill="1" applyBorder="1" applyAlignment="1">
      <alignment horizontal="center" vertical="center" wrapText="1"/>
    </xf>
    <xf numFmtId="1" fontId="19" fillId="34" borderId="2" xfId="0" applyNumberFormat="1" applyFont="1" applyFill="1" applyBorder="1" applyAlignment="1">
      <alignment horizontal="center" vertical="center" wrapText="1"/>
    </xf>
    <xf numFmtId="1" fontId="19" fillId="36" borderId="3" xfId="0" applyNumberFormat="1" applyFont="1" applyFill="1" applyBorder="1" applyAlignment="1">
      <alignment horizontal="center" vertical="center" wrapText="1"/>
    </xf>
    <xf numFmtId="1" fontId="19" fillId="36" borderId="2" xfId="0" applyNumberFormat="1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19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1" fontId="21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/>
    </xf>
    <xf numFmtId="1" fontId="20" fillId="0" borderId="1" xfId="0" applyNumberFormat="1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1" fontId="19" fillId="0" borderId="1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165" fontId="21" fillId="2" borderId="13" xfId="0" applyNumberFormat="1" applyFont="1" applyFill="1" applyBorder="1" applyAlignment="1">
      <alignment horizontal="center"/>
    </xf>
    <xf numFmtId="165" fontId="21" fillId="2" borderId="18" xfId="0" applyNumberFormat="1" applyFont="1" applyFill="1" applyBorder="1" applyAlignment="1">
      <alignment horizontal="center"/>
    </xf>
    <xf numFmtId="165" fontId="21" fillId="2" borderId="17" xfId="0" applyNumberFormat="1" applyFont="1" applyFill="1" applyBorder="1" applyAlignment="1">
      <alignment horizontal="center"/>
    </xf>
    <xf numFmtId="1" fontId="19" fillId="35" borderId="1" xfId="0" applyNumberFormat="1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19" fillId="40" borderId="1" xfId="0" applyFont="1" applyFill="1" applyBorder="1" applyAlignment="1">
      <alignment horizontal="center" vertical="center" wrapText="1"/>
    </xf>
    <xf numFmtId="1" fontId="19" fillId="37" borderId="1" xfId="0" applyNumberFormat="1" applyFont="1" applyFill="1" applyBorder="1" applyAlignment="1">
      <alignment horizontal="center" vertical="center" wrapText="1"/>
    </xf>
    <xf numFmtId="1" fontId="19" fillId="38" borderId="1" xfId="0" applyNumberFormat="1" applyFont="1" applyFill="1" applyBorder="1" applyAlignment="1">
      <alignment horizontal="center" vertical="center" wrapText="1"/>
    </xf>
    <xf numFmtId="0" fontId="20" fillId="0" borderId="20" xfId="0" applyFont="1" applyFill="1" applyBorder="1" applyAlignment="1">
      <alignment horizontal="center" vertical="center" wrapText="1"/>
    </xf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Migliaia 2" xfId="43"/>
    <cellStyle name="Neutrale" xfId="8" builtinId="28" customBuiltin="1"/>
    <cellStyle name="Normale" xfId="0" builtinId="0"/>
    <cellStyle name="Normale 2" xfId="42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4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7E93A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AE62"/>
  <sheetViews>
    <sheetView zoomScale="85" zoomScaleNormal="85" workbookViewId="0">
      <selection activeCell="V13" sqref="V13"/>
    </sheetView>
  </sheetViews>
  <sheetFormatPr defaultColWidth="8.28515625" defaultRowHeight="30" customHeight="1" x14ac:dyDescent="0.25"/>
  <cols>
    <col min="1" max="2" width="8.28515625" style="60"/>
    <col min="3" max="3" width="8.28515625" style="58"/>
    <col min="4" max="4" width="8.28515625" style="59"/>
    <col min="5" max="15" width="8.28515625" style="60"/>
    <col min="16" max="16" width="8.28515625" style="59"/>
    <col min="17" max="16384" width="8.28515625" style="60"/>
  </cols>
  <sheetData>
    <row r="2" spans="2:31" ht="30" customHeight="1" x14ac:dyDescent="0.25">
      <c r="B2" s="57"/>
      <c r="C2" s="73"/>
      <c r="D2" s="73"/>
      <c r="E2" s="58"/>
      <c r="F2" s="72"/>
      <c r="G2" s="72"/>
      <c r="H2" s="72"/>
      <c r="I2" s="59"/>
      <c r="O2" s="124" t="s">
        <v>110</v>
      </c>
      <c r="P2" s="124"/>
      <c r="Q2" s="124"/>
      <c r="R2" s="124"/>
      <c r="U2" s="59"/>
    </row>
    <row r="3" spans="2:31" ht="30" customHeight="1" x14ac:dyDescent="0.25">
      <c r="B3" s="57"/>
      <c r="D3" s="72"/>
      <c r="E3" s="72"/>
      <c r="F3" s="72"/>
      <c r="G3" s="72"/>
      <c r="H3" s="72"/>
      <c r="I3" s="59"/>
      <c r="P3" s="60"/>
      <c r="Q3" s="80"/>
      <c r="U3" s="59"/>
    </row>
    <row r="4" spans="2:31" ht="30" customHeight="1" x14ac:dyDescent="0.25">
      <c r="B4" s="61"/>
      <c r="C4" s="83"/>
      <c r="D4" s="84"/>
      <c r="E4" s="85"/>
      <c r="F4" s="86"/>
      <c r="G4" s="85"/>
      <c r="H4" s="85"/>
      <c r="I4" s="86"/>
      <c r="J4" s="85"/>
      <c r="K4" s="85"/>
      <c r="L4" s="86"/>
      <c r="M4" s="85"/>
      <c r="N4" s="85"/>
      <c r="O4" s="81"/>
      <c r="P4" s="87"/>
      <c r="Q4" s="81"/>
      <c r="R4" s="81"/>
      <c r="S4" s="80"/>
      <c r="T4" s="81"/>
      <c r="U4" s="81"/>
      <c r="V4" s="80"/>
      <c r="W4" s="81"/>
      <c r="X4" s="81"/>
      <c r="Y4" s="80"/>
      <c r="Z4" s="81"/>
      <c r="AA4" s="81"/>
      <c r="AB4" s="80"/>
      <c r="AC4" s="81"/>
      <c r="AD4" s="82"/>
      <c r="AE4" s="79"/>
    </row>
    <row r="5" spans="2:31" ht="30" customHeight="1" x14ac:dyDescent="0.25">
      <c r="B5" s="94" t="s">
        <v>131</v>
      </c>
      <c r="C5" s="95"/>
      <c r="D5" s="58"/>
      <c r="E5" s="94" t="s">
        <v>130</v>
      </c>
      <c r="F5" s="95"/>
      <c r="G5" s="58"/>
      <c r="H5" s="94" t="s">
        <v>129</v>
      </c>
      <c r="I5" s="95"/>
      <c r="J5" s="58"/>
      <c r="K5" s="96" t="s">
        <v>128</v>
      </c>
      <c r="L5" s="97"/>
      <c r="M5" s="74"/>
      <c r="N5" s="74"/>
      <c r="O5" s="88" t="s">
        <v>111</v>
      </c>
      <c r="P5" s="89"/>
      <c r="Q5" s="59"/>
      <c r="R5" s="98" t="s">
        <v>124</v>
      </c>
      <c r="S5" s="99"/>
      <c r="U5" s="98" t="s">
        <v>125</v>
      </c>
      <c r="V5" s="99"/>
      <c r="X5" s="100" t="s">
        <v>126</v>
      </c>
      <c r="Y5" s="101"/>
      <c r="AA5" s="102" t="s">
        <v>127</v>
      </c>
      <c r="AB5" s="103"/>
      <c r="AD5" s="90" t="s">
        <v>112</v>
      </c>
      <c r="AE5" s="91"/>
    </row>
    <row r="6" spans="2:31" ht="30" customHeight="1" x14ac:dyDescent="0.25">
      <c r="C6" s="76"/>
      <c r="F6" s="78"/>
      <c r="I6" s="78"/>
      <c r="L6" s="78"/>
      <c r="P6" s="78"/>
      <c r="S6" s="78"/>
      <c r="V6" s="78"/>
      <c r="Y6" s="78"/>
      <c r="AB6" s="78"/>
      <c r="AD6" s="92"/>
      <c r="AE6" s="93"/>
    </row>
    <row r="7" spans="2:31" ht="30" customHeight="1" x14ac:dyDescent="0.25">
      <c r="C7" s="77"/>
      <c r="F7" s="79"/>
      <c r="I7" s="79"/>
      <c r="L7" s="79"/>
      <c r="O7" s="80"/>
      <c r="P7" s="81"/>
      <c r="Q7" s="123"/>
      <c r="R7" s="59"/>
      <c r="S7" s="127"/>
      <c r="V7" s="127"/>
      <c r="Y7" s="127"/>
      <c r="AB7" s="127"/>
    </row>
    <row r="8" spans="2:31" ht="30" customHeight="1" x14ac:dyDescent="0.25">
      <c r="B8" s="126" t="s">
        <v>118</v>
      </c>
      <c r="C8" s="126"/>
      <c r="D8" s="58"/>
      <c r="E8" s="126" t="s">
        <v>119</v>
      </c>
      <c r="F8" s="126"/>
      <c r="G8" s="58"/>
      <c r="H8" s="126" t="s">
        <v>120</v>
      </c>
      <c r="I8" s="126"/>
      <c r="J8" s="58"/>
      <c r="K8" s="125" t="s">
        <v>121</v>
      </c>
      <c r="L8" s="125"/>
      <c r="M8" s="58"/>
      <c r="N8" s="122" t="s">
        <v>122</v>
      </c>
      <c r="O8" s="122"/>
      <c r="P8" s="74"/>
      <c r="Q8" s="123"/>
    </row>
    <row r="9" spans="2:31" ht="30" customHeight="1" x14ac:dyDescent="0.25">
      <c r="B9" s="126"/>
      <c r="C9" s="126"/>
      <c r="E9" s="126"/>
      <c r="F9" s="126"/>
      <c r="H9" s="126"/>
      <c r="I9" s="126"/>
      <c r="K9" s="125"/>
      <c r="L9" s="125"/>
      <c r="N9" s="122"/>
      <c r="O9" s="122"/>
      <c r="P9" s="74"/>
      <c r="Q9" s="123"/>
    </row>
    <row r="10" spans="2:31" ht="30" customHeight="1" x14ac:dyDescent="0.25">
      <c r="B10" s="57"/>
      <c r="Q10" s="79"/>
    </row>
    <row r="11" spans="2:31" ht="30" customHeight="1" x14ac:dyDescent="0.25">
      <c r="C11" s="64"/>
      <c r="D11" s="64"/>
      <c r="P11" s="122" t="s">
        <v>123</v>
      </c>
      <c r="Q11" s="122"/>
    </row>
    <row r="12" spans="2:31" ht="30" customHeight="1" x14ac:dyDescent="0.25">
      <c r="C12" s="64"/>
      <c r="D12" s="64"/>
      <c r="H12" s="58"/>
      <c r="P12" s="122"/>
      <c r="Q12" s="122"/>
    </row>
    <row r="13" spans="2:31" ht="30" customHeight="1" x14ac:dyDescent="0.25">
      <c r="C13" s="64"/>
      <c r="P13" s="122"/>
      <c r="Q13" s="122"/>
    </row>
    <row r="15" spans="2:31" ht="30" customHeight="1" x14ac:dyDescent="0.25">
      <c r="B15" s="57"/>
      <c r="C15" s="65"/>
      <c r="D15" s="66"/>
    </row>
    <row r="16" spans="2:31" ht="30" customHeight="1" x14ac:dyDescent="0.25">
      <c r="C16" s="59"/>
    </row>
    <row r="17" spans="2:16" ht="30" customHeight="1" x14ac:dyDescent="0.25">
      <c r="B17" s="57"/>
      <c r="C17" s="66"/>
      <c r="D17" s="66"/>
    </row>
    <row r="19" spans="2:16" ht="30" customHeight="1" x14ac:dyDescent="0.25">
      <c r="B19" s="57"/>
    </row>
    <row r="20" spans="2:16" ht="30" customHeight="1" x14ac:dyDescent="0.25">
      <c r="B20" s="61"/>
      <c r="C20" s="61"/>
      <c r="D20" s="62"/>
      <c r="E20" s="63"/>
      <c r="F20" s="61"/>
      <c r="G20" s="61"/>
      <c r="H20" s="61"/>
      <c r="I20" s="61"/>
      <c r="J20" s="61"/>
      <c r="K20" s="61"/>
    </row>
    <row r="21" spans="2:16" ht="30" customHeight="1" x14ac:dyDescent="0.25">
      <c r="B21" s="67"/>
      <c r="C21" s="67"/>
      <c r="D21" s="68"/>
      <c r="E21" s="68"/>
      <c r="F21" s="68"/>
      <c r="G21" s="68"/>
      <c r="H21" s="68"/>
      <c r="I21" s="69"/>
      <c r="J21" s="69"/>
      <c r="K21" s="69"/>
    </row>
    <row r="22" spans="2:16" ht="30" customHeight="1" x14ac:dyDescent="0.25">
      <c r="B22" s="67"/>
      <c r="C22" s="67"/>
      <c r="D22" s="68"/>
      <c r="E22" s="68"/>
      <c r="F22" s="68"/>
      <c r="G22" s="68"/>
      <c r="H22" s="68"/>
      <c r="I22" s="69"/>
      <c r="J22" s="69"/>
      <c r="K22" s="69"/>
    </row>
    <row r="23" spans="2:16" ht="30" customHeight="1" x14ac:dyDescent="0.25">
      <c r="B23" s="67"/>
      <c r="C23" s="67"/>
      <c r="D23" s="68"/>
      <c r="E23" s="68"/>
      <c r="F23" s="68"/>
      <c r="G23" s="68"/>
      <c r="H23" s="68"/>
      <c r="I23" s="69"/>
      <c r="J23" s="69"/>
      <c r="K23" s="69"/>
    </row>
    <row r="24" spans="2:16" ht="30" customHeight="1" x14ac:dyDescent="0.25">
      <c r="B24" s="67"/>
      <c r="C24" s="67"/>
      <c r="D24" s="68"/>
      <c r="E24" s="68"/>
      <c r="F24" s="68"/>
      <c r="G24" s="68"/>
      <c r="H24" s="68"/>
      <c r="I24" s="69"/>
      <c r="J24" s="69"/>
      <c r="K24" s="69"/>
    </row>
    <row r="25" spans="2:16" ht="30" customHeight="1" x14ac:dyDescent="0.25">
      <c r="B25" s="67"/>
      <c r="C25" s="67"/>
      <c r="D25" s="68"/>
      <c r="E25" s="68"/>
      <c r="F25" s="68"/>
      <c r="G25" s="68"/>
      <c r="H25" s="68"/>
      <c r="I25" s="69"/>
      <c r="J25" s="69"/>
      <c r="K25" s="69"/>
    </row>
    <row r="26" spans="2:16" ht="30" customHeight="1" x14ac:dyDescent="0.25">
      <c r="B26" s="70"/>
      <c r="C26" s="70"/>
      <c r="D26" s="68"/>
      <c r="E26" s="68"/>
      <c r="F26" s="68"/>
      <c r="G26" s="68"/>
      <c r="H26" s="68"/>
      <c r="I26" s="68"/>
      <c r="J26" s="68"/>
      <c r="K26" s="68"/>
    </row>
    <row r="27" spans="2:16" ht="30" customHeight="1" x14ac:dyDescent="0.25">
      <c r="B27" s="61"/>
      <c r="C27" s="62"/>
      <c r="D27" s="63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59"/>
    </row>
    <row r="28" spans="2:16" ht="30" customHeight="1" x14ac:dyDescent="0.25"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59"/>
      <c r="P28" s="60"/>
    </row>
    <row r="29" spans="2:16" ht="30" customHeight="1" x14ac:dyDescent="0.25">
      <c r="C29" s="71"/>
      <c r="D29" s="71"/>
      <c r="E29" s="71"/>
      <c r="F29" s="71"/>
      <c r="G29" s="71"/>
      <c r="H29" s="71"/>
      <c r="I29" s="71"/>
      <c r="J29" s="71"/>
      <c r="K29" s="71"/>
      <c r="L29" s="71"/>
      <c r="M29" s="71"/>
      <c r="N29" s="71"/>
      <c r="O29" s="59"/>
      <c r="P29" s="60"/>
    </row>
    <row r="30" spans="2:16" ht="30" customHeight="1" x14ac:dyDescent="0.25">
      <c r="B30" s="61"/>
      <c r="C30" s="62"/>
      <c r="D30" s="63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59"/>
      <c r="P30" s="60"/>
    </row>
    <row r="31" spans="2:16" ht="30" customHeight="1" x14ac:dyDescent="0.25">
      <c r="B31" s="66"/>
      <c r="C31" s="59"/>
      <c r="E31" s="59"/>
      <c r="F31" s="59"/>
      <c r="G31" s="59"/>
      <c r="H31" s="59"/>
      <c r="I31" s="59"/>
      <c r="J31" s="59"/>
      <c r="K31" s="59"/>
      <c r="L31" s="59"/>
      <c r="M31" s="59"/>
      <c r="N31" s="59"/>
      <c r="O31" s="59"/>
      <c r="P31" s="60"/>
    </row>
    <row r="32" spans="2:16" ht="30" customHeight="1" x14ac:dyDescent="0.25">
      <c r="P32" s="60"/>
    </row>
    <row r="34" spans="2:8" ht="30" customHeight="1" x14ac:dyDescent="0.25">
      <c r="B34" s="57"/>
    </row>
    <row r="35" spans="2:8" ht="30" customHeight="1" x14ac:dyDescent="0.25">
      <c r="B35" s="61"/>
      <c r="C35" s="104"/>
      <c r="D35" s="104"/>
      <c r="E35" s="104"/>
      <c r="F35" s="105"/>
      <c r="G35" s="105"/>
      <c r="H35" s="105"/>
    </row>
    <row r="36" spans="2:8" ht="30" customHeight="1" x14ac:dyDescent="0.25">
      <c r="C36" s="108"/>
      <c r="D36" s="108"/>
      <c r="F36" s="108"/>
      <c r="G36" s="108"/>
    </row>
    <row r="37" spans="2:8" ht="30" customHeight="1" x14ac:dyDescent="0.25">
      <c r="C37" s="108"/>
      <c r="D37" s="108"/>
      <c r="F37" s="108"/>
      <c r="G37" s="108"/>
    </row>
    <row r="38" spans="2:8" ht="30" customHeight="1" x14ac:dyDescent="0.25">
      <c r="C38" s="108"/>
      <c r="D38" s="108"/>
      <c r="F38" s="108"/>
      <c r="G38" s="108"/>
    </row>
    <row r="39" spans="2:8" ht="30" customHeight="1" x14ac:dyDescent="0.25">
      <c r="C39" s="108"/>
      <c r="D39" s="108"/>
      <c r="F39" s="108"/>
      <c r="G39" s="108"/>
    </row>
    <row r="40" spans="2:8" ht="30" customHeight="1" x14ac:dyDescent="0.25">
      <c r="C40" s="108"/>
      <c r="D40" s="108"/>
      <c r="F40" s="108"/>
      <c r="G40" s="108"/>
    </row>
    <row r="41" spans="2:8" ht="30" customHeight="1" x14ac:dyDescent="0.25">
      <c r="B41" s="107"/>
      <c r="C41" s="107"/>
      <c r="D41" s="107"/>
      <c r="E41" s="57"/>
      <c r="F41" s="108"/>
      <c r="G41" s="108"/>
    </row>
    <row r="42" spans="2:8" ht="30" customHeight="1" x14ac:dyDescent="0.25">
      <c r="B42" s="107"/>
      <c r="C42" s="107"/>
      <c r="D42" s="107"/>
      <c r="E42" s="57"/>
      <c r="F42" s="106"/>
      <c r="G42" s="106"/>
      <c r="H42" s="57"/>
    </row>
    <row r="44" spans="2:8" ht="30" customHeight="1" x14ac:dyDescent="0.25">
      <c r="B44" s="105"/>
      <c r="C44" s="105"/>
      <c r="D44" s="105"/>
    </row>
    <row r="47" spans="2:8" ht="30" customHeight="1" x14ac:dyDescent="0.25">
      <c r="B47" s="57"/>
      <c r="C47" s="70"/>
      <c r="D47" s="66"/>
    </row>
    <row r="50" spans="2:8" ht="30" customHeight="1" x14ac:dyDescent="0.25">
      <c r="B50" s="57"/>
    </row>
    <row r="51" spans="2:8" ht="30" customHeight="1" x14ac:dyDescent="0.25">
      <c r="B51" s="61"/>
      <c r="C51" s="104"/>
      <c r="D51" s="104"/>
      <c r="E51" s="104"/>
      <c r="F51" s="105"/>
      <c r="G51" s="105"/>
      <c r="H51" s="105"/>
    </row>
    <row r="52" spans="2:8" ht="30" customHeight="1" x14ac:dyDescent="0.25">
      <c r="B52" s="74"/>
      <c r="C52" s="106"/>
      <c r="D52" s="106"/>
      <c r="E52" s="106"/>
      <c r="F52" s="106"/>
      <c r="G52" s="107"/>
      <c r="H52" s="107"/>
    </row>
    <row r="55" spans="2:8" ht="30" customHeight="1" x14ac:dyDescent="0.25">
      <c r="B55" s="57"/>
    </row>
    <row r="56" spans="2:8" ht="30" customHeight="1" x14ac:dyDescent="0.25">
      <c r="C56" s="64"/>
      <c r="D56" s="64"/>
    </row>
    <row r="57" spans="2:8" ht="30" customHeight="1" x14ac:dyDescent="0.25">
      <c r="C57" s="64"/>
      <c r="D57" s="64"/>
      <c r="H57" s="58"/>
    </row>
    <row r="58" spans="2:8" ht="30" customHeight="1" x14ac:dyDescent="0.25">
      <c r="C58" s="64"/>
    </row>
    <row r="60" spans="2:8" ht="30" customHeight="1" x14ac:dyDescent="0.25">
      <c r="B60" s="57"/>
      <c r="C60" s="65"/>
      <c r="D60" s="66"/>
    </row>
    <row r="61" spans="2:8" ht="30" customHeight="1" x14ac:dyDescent="0.25">
      <c r="C61" s="75"/>
      <c r="D61" s="75"/>
    </row>
    <row r="62" spans="2:8" ht="30" customHeight="1" x14ac:dyDescent="0.25">
      <c r="B62" s="57"/>
      <c r="C62" s="66"/>
      <c r="D62" s="66"/>
    </row>
  </sheetData>
  <mergeCells count="39">
    <mergeCell ref="E8:F9"/>
    <mergeCell ref="B8:C9"/>
    <mergeCell ref="C35:E35"/>
    <mergeCell ref="F35:H35"/>
    <mergeCell ref="C36:D36"/>
    <mergeCell ref="F36:G36"/>
    <mergeCell ref="C37:D37"/>
    <mergeCell ref="F37:G37"/>
    <mergeCell ref="C38:D38"/>
    <mergeCell ref="F38:G38"/>
    <mergeCell ref="C39:D39"/>
    <mergeCell ref="F39:G39"/>
    <mergeCell ref="C40:D40"/>
    <mergeCell ref="F40:G40"/>
    <mergeCell ref="C51:E51"/>
    <mergeCell ref="F51:H51"/>
    <mergeCell ref="C52:E52"/>
    <mergeCell ref="F52:H52"/>
    <mergeCell ref="B41:B42"/>
    <mergeCell ref="C41:D41"/>
    <mergeCell ref="F41:G41"/>
    <mergeCell ref="C42:D42"/>
    <mergeCell ref="F42:G42"/>
    <mergeCell ref="B44:D44"/>
    <mergeCell ref="O2:R2"/>
    <mergeCell ref="B5:C5"/>
    <mergeCell ref="E5:F5"/>
    <mergeCell ref="H5:I5"/>
    <mergeCell ref="K5:L5"/>
    <mergeCell ref="O5:P5"/>
    <mergeCell ref="AD5:AE6"/>
    <mergeCell ref="R5:S5"/>
    <mergeCell ref="U5:V5"/>
    <mergeCell ref="X5:Y5"/>
    <mergeCell ref="AA5:AB5"/>
    <mergeCell ref="P11:Q13"/>
    <mergeCell ref="N8:O9"/>
    <mergeCell ref="K8:L9"/>
    <mergeCell ref="H8:I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P60"/>
  <sheetViews>
    <sheetView topLeftCell="A7" zoomScaleNormal="100" workbookViewId="0">
      <selection activeCell="C60" sqref="C60"/>
    </sheetView>
  </sheetViews>
  <sheetFormatPr defaultRowHeight="16.5" x14ac:dyDescent="0.25"/>
  <cols>
    <col min="1" max="1" width="3.5703125" style="4" customWidth="1"/>
    <col min="2" max="2" width="33.7109375" style="10" customWidth="1"/>
    <col min="3" max="3" width="11.7109375" style="2" customWidth="1"/>
    <col min="4" max="4" width="11.7109375" style="3" customWidth="1"/>
    <col min="5" max="15" width="11.7109375" style="4" customWidth="1"/>
    <col min="16" max="16" width="11.7109375" style="3" customWidth="1"/>
    <col min="17" max="17" width="10.28515625" style="4" customWidth="1"/>
    <col min="18" max="16384" width="9.140625" style="4"/>
  </cols>
  <sheetData>
    <row r="2" spans="2:14" ht="24.95" customHeight="1" x14ac:dyDescent="0.25">
      <c r="B2" s="1" t="s">
        <v>15</v>
      </c>
    </row>
    <row r="3" spans="2:14" ht="24.95" customHeight="1" x14ac:dyDescent="0.25">
      <c r="B3" s="5">
        <v>2015</v>
      </c>
      <c r="C3" s="6" t="s">
        <v>2</v>
      </c>
      <c r="D3" s="7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5" t="s">
        <v>12</v>
      </c>
      <c r="N3" s="5" t="s">
        <v>13</v>
      </c>
    </row>
    <row r="4" spans="2:14" ht="24.95" customHeight="1" x14ac:dyDescent="0.25">
      <c r="B4" s="8">
        <f>SUM(C4:N4)</f>
        <v>3053</v>
      </c>
      <c r="C4" s="9">
        <v>357</v>
      </c>
      <c r="D4" s="9">
        <v>334</v>
      </c>
      <c r="E4" s="9">
        <v>283</v>
      </c>
      <c r="F4" s="9">
        <v>190</v>
      </c>
      <c r="G4" s="9">
        <v>215</v>
      </c>
      <c r="H4" s="9">
        <v>171</v>
      </c>
      <c r="I4" s="9">
        <v>127</v>
      </c>
      <c r="J4" s="9">
        <v>131</v>
      </c>
      <c r="K4" s="9">
        <v>196</v>
      </c>
      <c r="L4" s="9">
        <v>333</v>
      </c>
      <c r="M4" s="9">
        <v>333</v>
      </c>
      <c r="N4" s="9">
        <v>383</v>
      </c>
    </row>
    <row r="6" spans="2:14" x14ac:dyDescent="0.25"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pans="2:14" ht="24.95" customHeight="1" x14ac:dyDescent="0.25">
      <c r="B7" s="1" t="s">
        <v>14</v>
      </c>
    </row>
    <row r="8" spans="2:14" ht="24.95" customHeight="1" x14ac:dyDescent="0.25">
      <c r="B8" s="1" t="s">
        <v>16</v>
      </c>
    </row>
    <row r="9" spans="2:14" ht="24.95" customHeight="1" x14ac:dyDescent="0.25">
      <c r="B9" s="12" t="s">
        <v>17</v>
      </c>
      <c r="C9" s="13">
        <v>4.3499999999999996</v>
      </c>
      <c r="D9" s="13" t="s">
        <v>0</v>
      </c>
    </row>
    <row r="10" spans="2:14" ht="24.95" customHeight="1" x14ac:dyDescent="0.25">
      <c r="B10" s="12" t="s">
        <v>18</v>
      </c>
      <c r="C10" s="13">
        <v>0.84</v>
      </c>
      <c r="D10" s="13" t="s">
        <v>0</v>
      </c>
      <c r="H10" s="11"/>
    </row>
    <row r="11" spans="2:14" ht="24.95" customHeight="1" x14ac:dyDescent="0.25">
      <c r="B11" s="12" t="s">
        <v>19</v>
      </c>
      <c r="C11" s="13">
        <f>C9-C10</f>
        <v>3.51</v>
      </c>
      <c r="D11" s="14" t="s">
        <v>0</v>
      </c>
    </row>
    <row r="12" spans="2:14" ht="24.95" customHeight="1" x14ac:dyDescent="0.25">
      <c r="B12" s="12" t="s">
        <v>20</v>
      </c>
      <c r="C12" s="9">
        <v>4</v>
      </c>
      <c r="D12" s="14" t="s">
        <v>34</v>
      </c>
    </row>
    <row r="13" spans="2:14" ht="24.95" customHeight="1" x14ac:dyDescent="0.25">
      <c r="B13" s="15" t="s">
        <v>40</v>
      </c>
      <c r="C13" s="16">
        <f>C11/C12*1000</f>
        <v>877.5</v>
      </c>
      <c r="D13" s="17" t="s">
        <v>1</v>
      </c>
    </row>
    <row r="14" spans="2:14" ht="24.95" customHeight="1" x14ac:dyDescent="0.25">
      <c r="B14" s="12" t="s">
        <v>23</v>
      </c>
      <c r="C14" s="14">
        <f>B29</f>
        <v>1200</v>
      </c>
      <c r="D14" s="14" t="s">
        <v>35</v>
      </c>
    </row>
    <row r="15" spans="2:14" ht="24.95" customHeight="1" x14ac:dyDescent="0.25">
      <c r="B15" s="15" t="s">
        <v>41</v>
      </c>
      <c r="C15" s="17">
        <f>C13*C14/1000</f>
        <v>1053</v>
      </c>
      <c r="D15" s="17" t="s">
        <v>37</v>
      </c>
    </row>
    <row r="17" spans="2:16" ht="24.95" customHeight="1" x14ac:dyDescent="0.25">
      <c r="B17" s="1" t="s">
        <v>22</v>
      </c>
    </row>
    <row r="18" spans="2:16" ht="24.95" customHeight="1" x14ac:dyDescent="0.25">
      <c r="B18" s="5" t="s">
        <v>31</v>
      </c>
      <c r="C18" s="5" t="s">
        <v>47</v>
      </c>
      <c r="D18" s="6" t="s">
        <v>24</v>
      </c>
      <c r="E18" s="7" t="s">
        <v>4</v>
      </c>
      <c r="F18" s="5" t="s">
        <v>25</v>
      </c>
      <c r="G18" s="5" t="s">
        <v>26</v>
      </c>
      <c r="H18" s="5" t="s">
        <v>27</v>
      </c>
      <c r="I18" s="5" t="s">
        <v>28</v>
      </c>
      <c r="J18" s="5" t="s">
        <v>29</v>
      </c>
      <c r="K18" s="5" t="s">
        <v>33</v>
      </c>
    </row>
    <row r="19" spans="2:16" ht="24.95" customHeight="1" x14ac:dyDescent="0.25">
      <c r="B19" s="18" t="s">
        <v>42</v>
      </c>
      <c r="C19" s="19">
        <v>6</v>
      </c>
      <c r="D19" s="20">
        <v>10</v>
      </c>
      <c r="E19" s="20">
        <v>10</v>
      </c>
      <c r="F19" s="20">
        <v>10</v>
      </c>
      <c r="G19" s="20">
        <v>10</v>
      </c>
      <c r="H19" s="20">
        <v>10</v>
      </c>
      <c r="I19" s="21">
        <v>2.5</v>
      </c>
      <c r="J19" s="21"/>
      <c r="K19" s="21">
        <f>SUM(D19:I19)*C19</f>
        <v>315</v>
      </c>
    </row>
    <row r="20" spans="2:16" ht="24.95" customHeight="1" x14ac:dyDescent="0.25">
      <c r="B20" s="18" t="s">
        <v>43</v>
      </c>
      <c r="C20" s="19">
        <v>6</v>
      </c>
      <c r="D20" s="20">
        <v>10</v>
      </c>
      <c r="E20" s="20">
        <v>10</v>
      </c>
      <c r="F20" s="20">
        <v>10</v>
      </c>
      <c r="G20" s="20">
        <v>10</v>
      </c>
      <c r="H20" s="20">
        <v>10</v>
      </c>
      <c r="I20" s="21">
        <v>2.5</v>
      </c>
      <c r="J20" s="21"/>
      <c r="K20" s="21">
        <f t="shared" ref="K20:K23" si="0">SUM(D20:I20)*C20</f>
        <v>315</v>
      </c>
    </row>
    <row r="21" spans="2:16" ht="24.95" customHeight="1" x14ac:dyDescent="0.25">
      <c r="B21" s="18" t="s">
        <v>44</v>
      </c>
      <c r="C21" s="19">
        <v>6</v>
      </c>
      <c r="D21" s="20">
        <v>10</v>
      </c>
      <c r="E21" s="20">
        <v>10</v>
      </c>
      <c r="F21" s="20">
        <v>10</v>
      </c>
      <c r="G21" s="20">
        <v>10</v>
      </c>
      <c r="H21" s="20">
        <v>10</v>
      </c>
      <c r="I21" s="21">
        <v>2.5</v>
      </c>
      <c r="J21" s="21"/>
      <c r="K21" s="21">
        <f t="shared" si="0"/>
        <v>315</v>
      </c>
    </row>
    <row r="22" spans="2:16" ht="24.95" customHeight="1" x14ac:dyDescent="0.25">
      <c r="B22" s="18" t="s">
        <v>46</v>
      </c>
      <c r="C22" s="19">
        <v>4</v>
      </c>
      <c r="D22" s="20">
        <v>7</v>
      </c>
      <c r="E22" s="20">
        <v>7</v>
      </c>
      <c r="F22" s="20">
        <v>7</v>
      </c>
      <c r="G22" s="20">
        <v>7</v>
      </c>
      <c r="H22" s="20">
        <v>7</v>
      </c>
      <c r="I22" s="21">
        <v>2.5</v>
      </c>
      <c r="J22" s="21"/>
      <c r="K22" s="21">
        <f t="shared" si="0"/>
        <v>150</v>
      </c>
    </row>
    <row r="23" spans="2:16" ht="24.95" customHeight="1" x14ac:dyDescent="0.25">
      <c r="B23" s="18" t="s">
        <v>45</v>
      </c>
      <c r="C23" s="19">
        <v>2</v>
      </c>
      <c r="D23" s="20">
        <v>10</v>
      </c>
      <c r="E23" s="20">
        <v>10</v>
      </c>
      <c r="F23" s="20">
        <v>10</v>
      </c>
      <c r="G23" s="20">
        <v>10</v>
      </c>
      <c r="H23" s="20">
        <v>10</v>
      </c>
      <c r="I23" s="21">
        <v>2.5</v>
      </c>
      <c r="J23" s="21"/>
      <c r="K23" s="21">
        <f t="shared" si="0"/>
        <v>105</v>
      </c>
    </row>
    <row r="24" spans="2:16" ht="24.95" customHeight="1" x14ac:dyDescent="0.25">
      <c r="B24" s="22" t="s">
        <v>48</v>
      </c>
      <c r="C24" s="23">
        <f>K24/24</f>
        <v>50</v>
      </c>
      <c r="D24" s="20"/>
      <c r="E24" s="20"/>
      <c r="F24" s="20"/>
      <c r="G24" s="20"/>
      <c r="H24" s="20"/>
      <c r="I24" s="20"/>
      <c r="J24" s="20"/>
      <c r="K24" s="20">
        <f>SUM(K19:K23)</f>
        <v>1200</v>
      </c>
    </row>
    <row r="25" spans="2:16" ht="24.95" customHeight="1" x14ac:dyDescent="0.25">
      <c r="B25" s="5" t="s">
        <v>30</v>
      </c>
      <c r="C25" s="6" t="s">
        <v>2</v>
      </c>
      <c r="D25" s="7" t="s">
        <v>3</v>
      </c>
      <c r="E25" s="5" t="s">
        <v>4</v>
      </c>
      <c r="F25" s="5" t="s">
        <v>5</v>
      </c>
      <c r="G25" s="5" t="s">
        <v>6</v>
      </c>
      <c r="H25" s="5" t="s">
        <v>7</v>
      </c>
      <c r="I25" s="5" t="s">
        <v>8</v>
      </c>
      <c r="J25" s="5" t="s">
        <v>9</v>
      </c>
      <c r="K25" s="5" t="s">
        <v>10</v>
      </c>
      <c r="L25" s="5" t="s">
        <v>11</v>
      </c>
      <c r="M25" s="5" t="s">
        <v>12</v>
      </c>
      <c r="N25" s="5" t="s">
        <v>13</v>
      </c>
      <c r="O25" s="3"/>
      <c r="P25" s="4"/>
    </row>
    <row r="26" spans="2:16" ht="24.95" customHeight="1" x14ac:dyDescent="0.25">
      <c r="B26" s="24" t="s">
        <v>39</v>
      </c>
      <c r="C26" s="20">
        <v>3</v>
      </c>
      <c r="D26" s="20">
        <v>4</v>
      </c>
      <c r="E26" s="20">
        <v>4</v>
      </c>
      <c r="F26" s="20">
        <v>4</v>
      </c>
      <c r="G26" s="20">
        <v>5</v>
      </c>
      <c r="H26" s="20">
        <v>2</v>
      </c>
      <c r="I26" s="20"/>
      <c r="J26" s="20"/>
      <c r="K26" s="20">
        <v>3</v>
      </c>
      <c r="L26" s="20">
        <v>5</v>
      </c>
      <c r="M26" s="20">
        <v>4</v>
      </c>
      <c r="N26" s="20">
        <v>3</v>
      </c>
      <c r="O26" s="3"/>
      <c r="P26" s="4"/>
    </row>
    <row r="27" spans="2:16" ht="24.95" customHeight="1" x14ac:dyDescent="0.25">
      <c r="B27" s="12" t="s">
        <v>38</v>
      </c>
      <c r="C27" s="25">
        <v>1</v>
      </c>
      <c r="D27" s="25">
        <v>0.8</v>
      </c>
      <c r="E27" s="25">
        <v>0.6</v>
      </c>
      <c r="F27" s="25">
        <v>0.4</v>
      </c>
      <c r="G27" s="25">
        <v>0.3</v>
      </c>
      <c r="H27" s="25">
        <v>0.2</v>
      </c>
      <c r="I27" s="25"/>
      <c r="J27" s="25"/>
      <c r="K27" s="25">
        <v>0.6</v>
      </c>
      <c r="L27" s="25">
        <v>0.7</v>
      </c>
      <c r="M27" s="25">
        <v>0.9</v>
      </c>
      <c r="N27" s="25">
        <v>1</v>
      </c>
      <c r="O27" s="3"/>
      <c r="P27" s="4"/>
    </row>
    <row r="28" spans="2:16" ht="24.95" customHeight="1" x14ac:dyDescent="0.25">
      <c r="B28" s="5" t="s">
        <v>32</v>
      </c>
      <c r="C28" s="6"/>
      <c r="D28" s="7"/>
      <c r="E28" s="5"/>
      <c r="F28" s="5"/>
      <c r="G28" s="5"/>
      <c r="H28" s="5"/>
      <c r="I28" s="5"/>
      <c r="J28" s="5"/>
      <c r="K28" s="5"/>
      <c r="L28" s="5"/>
      <c r="M28" s="5"/>
      <c r="N28" s="5"/>
      <c r="O28" s="3"/>
      <c r="P28" s="4"/>
    </row>
    <row r="29" spans="2:16" ht="24.95" customHeight="1" x14ac:dyDescent="0.25">
      <c r="B29" s="17">
        <f>SUM(C29:N29)</f>
        <v>1200</v>
      </c>
      <c r="C29" s="14">
        <f>$C$24*C26*C27</f>
        <v>150</v>
      </c>
      <c r="D29" s="14">
        <f t="shared" ref="D29:N29" si="1">$C$24*D26*D27</f>
        <v>160</v>
      </c>
      <c r="E29" s="14">
        <f t="shared" si="1"/>
        <v>120</v>
      </c>
      <c r="F29" s="14">
        <f t="shared" si="1"/>
        <v>80</v>
      </c>
      <c r="G29" s="14">
        <f t="shared" si="1"/>
        <v>75</v>
      </c>
      <c r="H29" s="14">
        <f t="shared" si="1"/>
        <v>20</v>
      </c>
      <c r="I29" s="14">
        <f t="shared" si="1"/>
        <v>0</v>
      </c>
      <c r="J29" s="14">
        <f t="shared" si="1"/>
        <v>0</v>
      </c>
      <c r="K29" s="14">
        <f t="shared" si="1"/>
        <v>90</v>
      </c>
      <c r="L29" s="14">
        <f t="shared" si="1"/>
        <v>175</v>
      </c>
      <c r="M29" s="14">
        <f t="shared" si="1"/>
        <v>180</v>
      </c>
      <c r="N29" s="14">
        <f t="shared" si="1"/>
        <v>150</v>
      </c>
      <c r="O29" s="3"/>
      <c r="P29" s="4"/>
    </row>
    <row r="32" spans="2:16" ht="24.95" customHeight="1" x14ac:dyDescent="0.25">
      <c r="B32" s="1" t="s">
        <v>49</v>
      </c>
    </row>
    <row r="33" spans="2:8" ht="24.95" customHeight="1" x14ac:dyDescent="0.25">
      <c r="B33" s="26"/>
      <c r="C33" s="109" t="s">
        <v>52</v>
      </c>
      <c r="D33" s="109"/>
      <c r="E33" s="109"/>
      <c r="F33" s="110" t="s">
        <v>53</v>
      </c>
      <c r="G33" s="110"/>
      <c r="H33" s="110"/>
    </row>
    <row r="34" spans="2:8" ht="24.95" customHeight="1" x14ac:dyDescent="0.25">
      <c r="B34" s="12" t="s">
        <v>50</v>
      </c>
      <c r="C34" s="111">
        <v>24</v>
      </c>
      <c r="D34" s="111"/>
      <c r="E34" s="27" t="s">
        <v>54</v>
      </c>
      <c r="F34" s="111">
        <v>24</v>
      </c>
      <c r="G34" s="111"/>
      <c r="H34" s="27" t="s">
        <v>54</v>
      </c>
    </row>
    <row r="35" spans="2:8" ht="24.95" customHeight="1" x14ac:dyDescent="0.25">
      <c r="B35" s="12" t="s">
        <v>51</v>
      </c>
      <c r="C35" s="111">
        <v>36</v>
      </c>
      <c r="D35" s="111"/>
      <c r="E35" s="27" t="s">
        <v>1</v>
      </c>
      <c r="F35" s="111">
        <v>16</v>
      </c>
      <c r="G35" s="111"/>
      <c r="H35" s="27" t="s">
        <v>1</v>
      </c>
    </row>
    <row r="36" spans="2:8" ht="24.95" customHeight="1" x14ac:dyDescent="0.25">
      <c r="B36" s="12" t="s">
        <v>55</v>
      </c>
      <c r="C36" s="111">
        <f>C34*C35</f>
        <v>864</v>
      </c>
      <c r="D36" s="111"/>
      <c r="E36" s="27" t="s">
        <v>1</v>
      </c>
      <c r="F36" s="111">
        <f>F34*F35</f>
        <v>384</v>
      </c>
      <c r="G36" s="111"/>
      <c r="H36" s="27" t="s">
        <v>1</v>
      </c>
    </row>
    <row r="37" spans="2:8" ht="24.95" customHeight="1" x14ac:dyDescent="0.25">
      <c r="B37" s="12" t="s">
        <v>23</v>
      </c>
      <c r="C37" s="111">
        <f>B29</f>
        <v>1200</v>
      </c>
      <c r="D37" s="111"/>
      <c r="E37" s="27" t="s">
        <v>35</v>
      </c>
      <c r="F37" s="111">
        <v>1200</v>
      </c>
      <c r="G37" s="111"/>
      <c r="H37" s="27" t="s">
        <v>35</v>
      </c>
    </row>
    <row r="38" spans="2:8" ht="24.95" customHeight="1" x14ac:dyDescent="0.25">
      <c r="B38" s="12" t="s">
        <v>56</v>
      </c>
      <c r="C38" s="111">
        <f>C36*C37/1000</f>
        <v>1036.8</v>
      </c>
      <c r="D38" s="111"/>
      <c r="E38" s="27" t="s">
        <v>37</v>
      </c>
      <c r="F38" s="111">
        <f>F36*F37/1000</f>
        <v>460.8</v>
      </c>
      <c r="G38" s="111"/>
      <c r="H38" s="27" t="s">
        <v>37</v>
      </c>
    </row>
    <row r="39" spans="2:8" ht="24.95" customHeight="1" x14ac:dyDescent="0.25">
      <c r="B39" s="114" t="s">
        <v>58</v>
      </c>
      <c r="C39" s="112"/>
      <c r="D39" s="113"/>
      <c r="E39" s="28"/>
      <c r="F39" s="111">
        <f>C38-F38</f>
        <v>576</v>
      </c>
      <c r="G39" s="111"/>
      <c r="H39" s="27" t="s">
        <v>37</v>
      </c>
    </row>
    <row r="40" spans="2:8" ht="24.95" customHeight="1" x14ac:dyDescent="0.25">
      <c r="B40" s="115"/>
      <c r="C40" s="117"/>
      <c r="D40" s="117"/>
      <c r="E40" s="28"/>
      <c r="F40" s="116">
        <f>F39/C38*100</f>
        <v>55.555555555555557</v>
      </c>
      <c r="G40" s="116"/>
      <c r="H40" s="29" t="s">
        <v>57</v>
      </c>
    </row>
    <row r="42" spans="2:8" ht="24.95" customHeight="1" x14ac:dyDescent="0.25">
      <c r="B42" s="110" t="s">
        <v>59</v>
      </c>
      <c r="C42" s="110"/>
      <c r="D42" s="110"/>
    </row>
    <row r="43" spans="2:8" ht="24.95" customHeight="1" x14ac:dyDescent="0.25">
      <c r="B43" s="12" t="s">
        <v>36</v>
      </c>
      <c r="C43" s="9">
        <f>C13</f>
        <v>877.5</v>
      </c>
      <c r="D43" s="14" t="s">
        <v>1</v>
      </c>
    </row>
    <row r="44" spans="2:8" ht="24.95" customHeight="1" x14ac:dyDescent="0.25">
      <c r="B44" s="12" t="s">
        <v>60</v>
      </c>
      <c r="C44" s="9">
        <f>C36</f>
        <v>864</v>
      </c>
      <c r="D44" s="14" t="s">
        <v>1</v>
      </c>
    </row>
    <row r="45" spans="2:8" ht="24.95" customHeight="1" x14ac:dyDescent="0.25">
      <c r="B45" s="15" t="s">
        <v>61</v>
      </c>
      <c r="C45" s="23">
        <f>(C43-C44)/C43*100</f>
        <v>1.5384615384615385</v>
      </c>
      <c r="D45" s="17" t="s">
        <v>57</v>
      </c>
    </row>
    <row r="48" spans="2:8" ht="24.95" customHeight="1" x14ac:dyDescent="0.25">
      <c r="B48" s="1" t="s">
        <v>62</v>
      </c>
    </row>
    <row r="49" spans="2:8" ht="24.95" customHeight="1" x14ac:dyDescent="0.25">
      <c r="B49" s="5">
        <v>2015</v>
      </c>
      <c r="C49" s="109">
        <v>2017</v>
      </c>
      <c r="D49" s="109"/>
      <c r="E49" s="109"/>
      <c r="F49" s="110" t="s">
        <v>63</v>
      </c>
      <c r="G49" s="110"/>
      <c r="H49" s="110"/>
    </row>
    <row r="50" spans="2:8" ht="24.95" customHeight="1" x14ac:dyDescent="0.25">
      <c r="B50" s="8">
        <f>SUM(C4:N4)</f>
        <v>3053</v>
      </c>
      <c r="C50" s="116">
        <v>2645</v>
      </c>
      <c r="D50" s="116"/>
      <c r="E50" s="116"/>
      <c r="F50" s="116">
        <f>B50-C50</f>
        <v>408</v>
      </c>
      <c r="G50" s="117"/>
      <c r="H50" s="117"/>
    </row>
    <row r="53" spans="2:8" ht="24.95" customHeight="1" x14ac:dyDescent="0.25">
      <c r="B53" s="1" t="s">
        <v>64</v>
      </c>
    </row>
    <row r="54" spans="2:8" ht="24.95" customHeight="1" x14ac:dyDescent="0.25">
      <c r="B54" s="12" t="s">
        <v>17</v>
      </c>
      <c r="C54" s="13">
        <v>2.37</v>
      </c>
      <c r="D54" s="13" t="s">
        <v>0</v>
      </c>
    </row>
    <row r="55" spans="2:8" ht="24.95" customHeight="1" x14ac:dyDescent="0.25">
      <c r="B55" s="12" t="s">
        <v>18</v>
      </c>
      <c r="C55" s="13">
        <v>0.76</v>
      </c>
      <c r="D55" s="13" t="s">
        <v>0</v>
      </c>
      <c r="H55" s="11"/>
    </row>
    <row r="56" spans="2:8" ht="24.95" customHeight="1" x14ac:dyDescent="0.25">
      <c r="B56" s="12" t="s">
        <v>19</v>
      </c>
      <c r="C56" s="13">
        <f>C54-C55</f>
        <v>1.61</v>
      </c>
      <c r="D56" s="14" t="s">
        <v>0</v>
      </c>
    </row>
    <row r="57" spans="2:8" ht="24.95" customHeight="1" x14ac:dyDescent="0.25">
      <c r="B57" s="12" t="s">
        <v>20</v>
      </c>
      <c r="C57" s="9">
        <v>4</v>
      </c>
      <c r="D57" s="14" t="s">
        <v>34</v>
      </c>
    </row>
    <row r="58" spans="2:8" ht="24.95" customHeight="1" x14ac:dyDescent="0.25">
      <c r="B58" s="15" t="s">
        <v>21</v>
      </c>
      <c r="C58" s="16">
        <f>C56/C57*1000</f>
        <v>402.5</v>
      </c>
      <c r="D58" s="17" t="s">
        <v>1</v>
      </c>
    </row>
    <row r="59" spans="2:8" ht="24.95" customHeight="1" x14ac:dyDescent="0.25">
      <c r="B59" s="12" t="s">
        <v>23</v>
      </c>
      <c r="C59" s="30">
        <v>1200</v>
      </c>
      <c r="D59" s="30" t="s">
        <v>35</v>
      </c>
    </row>
    <row r="60" spans="2:8" ht="24.95" customHeight="1" x14ac:dyDescent="0.25">
      <c r="B60" s="15" t="s">
        <v>65</v>
      </c>
      <c r="C60" s="17">
        <f>C58*C59/1000</f>
        <v>483</v>
      </c>
      <c r="D60" s="17" t="s">
        <v>37</v>
      </c>
    </row>
  </sheetData>
  <mergeCells count="22">
    <mergeCell ref="B42:D42"/>
    <mergeCell ref="C49:E49"/>
    <mergeCell ref="C50:E50"/>
    <mergeCell ref="F49:H49"/>
    <mergeCell ref="F50:H50"/>
    <mergeCell ref="C39:D39"/>
    <mergeCell ref="F39:G39"/>
    <mergeCell ref="B39:B40"/>
    <mergeCell ref="F40:G40"/>
    <mergeCell ref="C40:D40"/>
    <mergeCell ref="C36:D36"/>
    <mergeCell ref="F36:G36"/>
    <mergeCell ref="C37:D37"/>
    <mergeCell ref="F37:G37"/>
    <mergeCell ref="C38:D38"/>
    <mergeCell ref="F38:G38"/>
    <mergeCell ref="C33:E33"/>
    <mergeCell ref="F33:H33"/>
    <mergeCell ref="C34:D34"/>
    <mergeCell ref="C35:D35"/>
    <mergeCell ref="F34:G34"/>
    <mergeCell ref="F35:G3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V64"/>
  <sheetViews>
    <sheetView tabSelected="1" zoomScaleNormal="100" workbookViewId="0">
      <selection activeCell="G11" sqref="G11"/>
    </sheetView>
  </sheetViews>
  <sheetFormatPr defaultRowHeight="16.5" x14ac:dyDescent="0.25"/>
  <cols>
    <col min="1" max="1" width="3.5703125" style="4" customWidth="1"/>
    <col min="2" max="2" width="33.7109375" style="10" customWidth="1"/>
    <col min="3" max="3" width="11.7109375" style="2" customWidth="1"/>
    <col min="4" max="4" width="11.7109375" style="3" customWidth="1"/>
    <col min="5" max="15" width="11.7109375" style="4" customWidth="1"/>
    <col min="16" max="16" width="11.7109375" style="3" customWidth="1"/>
    <col min="17" max="17" width="10.28515625" style="4" customWidth="1"/>
    <col min="18" max="16384" width="9.140625" style="4"/>
  </cols>
  <sheetData>
    <row r="2" spans="2:14" ht="24.95" customHeight="1" x14ac:dyDescent="0.25">
      <c r="B2" s="1" t="s">
        <v>69</v>
      </c>
    </row>
    <row r="3" spans="2:14" ht="24.95" customHeight="1" x14ac:dyDescent="0.25">
      <c r="B3" s="31">
        <v>2015</v>
      </c>
      <c r="C3" s="32" t="s">
        <v>2</v>
      </c>
      <c r="D3" s="7" t="s">
        <v>3</v>
      </c>
      <c r="E3" s="31" t="s">
        <v>4</v>
      </c>
      <c r="F3" s="31" t="s">
        <v>5</v>
      </c>
      <c r="G3" s="31" t="s">
        <v>6</v>
      </c>
      <c r="H3" s="31" t="s">
        <v>7</v>
      </c>
      <c r="I3" s="31" t="s">
        <v>8</v>
      </c>
      <c r="J3" s="31" t="s">
        <v>9</v>
      </c>
      <c r="K3" s="31" t="s">
        <v>10</v>
      </c>
      <c r="L3" s="31" t="s">
        <v>11</v>
      </c>
      <c r="M3" s="31" t="s">
        <v>12</v>
      </c>
      <c r="N3" s="31" t="s">
        <v>13</v>
      </c>
    </row>
    <row r="4" spans="2:14" ht="24.95" customHeight="1" x14ac:dyDescent="0.25">
      <c r="B4" s="33">
        <f>SUM(C4:N4)</f>
        <v>3053</v>
      </c>
      <c r="C4" s="34">
        <v>357</v>
      </c>
      <c r="D4" s="34">
        <v>334</v>
      </c>
      <c r="E4" s="34">
        <v>283</v>
      </c>
      <c r="F4" s="34">
        <v>190</v>
      </c>
      <c r="G4" s="34">
        <v>215</v>
      </c>
      <c r="H4" s="34">
        <v>171</v>
      </c>
      <c r="I4" s="34">
        <v>127</v>
      </c>
      <c r="J4" s="34">
        <v>131</v>
      </c>
      <c r="K4" s="34">
        <v>196</v>
      </c>
      <c r="L4" s="34">
        <v>333</v>
      </c>
      <c r="M4" s="34">
        <v>333</v>
      </c>
      <c r="N4" s="34">
        <v>383</v>
      </c>
    </row>
    <row r="6" spans="2:14" ht="24.95" customHeight="1" x14ac:dyDescent="0.25">
      <c r="B6" s="1" t="s">
        <v>68</v>
      </c>
    </row>
    <row r="7" spans="2:14" ht="24.95" customHeight="1" x14ac:dyDescent="0.25">
      <c r="B7" s="12" t="s">
        <v>17</v>
      </c>
      <c r="C7" s="13">
        <v>4.3499999999999996</v>
      </c>
      <c r="D7" s="13" t="s">
        <v>0</v>
      </c>
    </row>
    <row r="8" spans="2:14" ht="24.95" customHeight="1" x14ac:dyDescent="0.25">
      <c r="B8" s="12" t="s">
        <v>18</v>
      </c>
      <c r="C8" s="13">
        <v>0.84</v>
      </c>
      <c r="D8" s="13" t="s">
        <v>0</v>
      </c>
      <c r="H8" s="11"/>
    </row>
    <row r="9" spans="2:14" ht="24.95" customHeight="1" x14ac:dyDescent="0.25">
      <c r="B9" s="12" t="s">
        <v>19</v>
      </c>
      <c r="C9" s="13">
        <f>C7-C8</f>
        <v>3.51</v>
      </c>
      <c r="D9" s="14" t="s">
        <v>0</v>
      </c>
    </row>
    <row r="10" spans="2:14" ht="24.95" customHeight="1" x14ac:dyDescent="0.25">
      <c r="B10" s="12" t="s">
        <v>20</v>
      </c>
      <c r="C10" s="34">
        <v>4</v>
      </c>
      <c r="D10" s="14" t="s">
        <v>67</v>
      </c>
    </row>
    <row r="11" spans="2:14" ht="24.95" customHeight="1" x14ac:dyDescent="0.25">
      <c r="B11" s="15" t="s">
        <v>40</v>
      </c>
      <c r="C11" s="16">
        <f>C9/C10*1000</f>
        <v>877.5</v>
      </c>
      <c r="D11" s="17" t="s">
        <v>1</v>
      </c>
    </row>
    <row r="12" spans="2:14" ht="24.95" customHeight="1" x14ac:dyDescent="0.25">
      <c r="B12" s="12" t="s">
        <v>23</v>
      </c>
      <c r="C12" s="30">
        <v>1200</v>
      </c>
      <c r="D12" s="30" t="s">
        <v>35</v>
      </c>
    </row>
    <row r="13" spans="2:14" ht="24.95" customHeight="1" x14ac:dyDescent="0.25">
      <c r="B13" s="15" t="s">
        <v>41</v>
      </c>
      <c r="C13" s="17">
        <f>C12*C11/1000</f>
        <v>1053</v>
      </c>
      <c r="D13" s="17" t="s">
        <v>37</v>
      </c>
    </row>
    <row r="14" spans="2:14" ht="24.95" customHeight="1" x14ac:dyDescent="0.25">
      <c r="B14" s="15" t="s">
        <v>58</v>
      </c>
      <c r="C14" s="17">
        <v>56</v>
      </c>
      <c r="D14" s="17" t="s">
        <v>57</v>
      </c>
    </row>
    <row r="15" spans="2:14" ht="24.95" customHeight="1" x14ac:dyDescent="0.25">
      <c r="B15" s="12" t="s">
        <v>70</v>
      </c>
      <c r="C15" s="13">
        <v>628</v>
      </c>
      <c r="D15" s="14" t="s">
        <v>71</v>
      </c>
    </row>
    <row r="16" spans="2:14" ht="24.95" customHeight="1" x14ac:dyDescent="0.25">
      <c r="B16" s="12" t="s">
        <v>75</v>
      </c>
      <c r="C16" s="14">
        <f>B4</f>
        <v>3053</v>
      </c>
      <c r="D16" s="14" t="s">
        <v>0</v>
      </c>
    </row>
    <row r="17" spans="2:16" ht="24.95" customHeight="1" x14ac:dyDescent="0.25">
      <c r="B17" s="12" t="s">
        <v>113</v>
      </c>
      <c r="C17" s="13">
        <f>C15/C16</f>
        <v>0.20569931215198164</v>
      </c>
      <c r="D17" s="14" t="s">
        <v>72</v>
      </c>
    </row>
    <row r="18" spans="2:16" ht="24.95" customHeight="1" x14ac:dyDescent="0.25">
      <c r="B18" s="12" t="s">
        <v>114</v>
      </c>
      <c r="C18" s="20">
        <f>C17*C13</f>
        <v>216.60137569603668</v>
      </c>
      <c r="D18" s="14" t="s">
        <v>73</v>
      </c>
    </row>
    <row r="19" spans="2:16" ht="24.95" customHeight="1" x14ac:dyDescent="0.25">
      <c r="B19" s="15" t="s">
        <v>115</v>
      </c>
      <c r="C19" s="23">
        <f>C18*C14/100</f>
        <v>121.29677038978053</v>
      </c>
      <c r="D19" s="17" t="str">
        <f>D18</f>
        <v>€/anno</v>
      </c>
    </row>
    <row r="20" spans="2:16" ht="24.95" customHeight="1" x14ac:dyDescent="0.25">
      <c r="B20" s="37" t="s">
        <v>116</v>
      </c>
      <c r="C20" s="38">
        <f>C19/1.22</f>
        <v>99.423582286705354</v>
      </c>
      <c r="D20" s="39" t="s">
        <v>71</v>
      </c>
      <c r="E20" s="4" t="s">
        <v>117</v>
      </c>
    </row>
    <row r="22" spans="2:16" ht="18" hidden="1" customHeight="1" x14ac:dyDescent="0.3">
      <c r="B22" s="118" t="s">
        <v>79</v>
      </c>
      <c r="C22" s="118" t="s">
        <v>33</v>
      </c>
      <c r="D22" s="119" t="s">
        <v>82</v>
      </c>
      <c r="E22" s="120"/>
      <c r="F22" s="121"/>
      <c r="G22" s="118" t="s">
        <v>66</v>
      </c>
    </row>
    <row r="23" spans="2:16" s="43" customFormat="1" ht="18" hidden="1" customHeight="1" x14ac:dyDescent="0.25">
      <c r="B23" s="118"/>
      <c r="C23" s="118"/>
      <c r="D23" s="45" t="s">
        <v>80</v>
      </c>
      <c r="E23" s="47" t="s">
        <v>81</v>
      </c>
      <c r="F23" s="46" t="s">
        <v>83</v>
      </c>
      <c r="G23" s="118"/>
      <c r="P23" s="44"/>
    </row>
    <row r="24" spans="2:16" ht="24.95" hidden="1" customHeight="1" x14ac:dyDescent="0.25">
      <c r="B24" s="40" t="s">
        <v>77</v>
      </c>
      <c r="C24" s="41"/>
      <c r="D24" s="42"/>
      <c r="E24" s="42"/>
      <c r="F24" s="42"/>
      <c r="G24" s="41" t="s">
        <v>73</v>
      </c>
    </row>
    <row r="25" spans="2:16" ht="24.95" hidden="1" customHeight="1" x14ac:dyDescent="0.25">
      <c r="B25" s="40" t="s">
        <v>78</v>
      </c>
      <c r="C25" s="41"/>
      <c r="D25" s="42"/>
      <c r="E25" s="42"/>
      <c r="F25" s="42"/>
      <c r="G25" s="41" t="str">
        <f>G24</f>
        <v>€/anno</v>
      </c>
    </row>
    <row r="27" spans="2:16" ht="24.95" customHeight="1" x14ac:dyDescent="0.25">
      <c r="B27" s="1" t="s">
        <v>76</v>
      </c>
    </row>
    <row r="28" spans="2:16" ht="24.95" customHeight="1" x14ac:dyDescent="0.25">
      <c r="B28" s="12" t="s">
        <v>86</v>
      </c>
      <c r="C28" s="34">
        <v>15</v>
      </c>
      <c r="D28" s="13" t="s">
        <v>57</v>
      </c>
    </row>
    <row r="29" spans="2:16" ht="24.95" customHeight="1" x14ac:dyDescent="0.25">
      <c r="B29" s="12" t="s">
        <v>84</v>
      </c>
      <c r="C29" s="34">
        <f>100-C28</f>
        <v>85</v>
      </c>
      <c r="D29" s="13" t="s">
        <v>57</v>
      </c>
    </row>
    <row r="30" spans="2:16" ht="24.95" customHeight="1" x14ac:dyDescent="0.25">
      <c r="B30" s="37" t="s">
        <v>74</v>
      </c>
      <c r="C30" s="38">
        <f>C20*C29/100</f>
        <v>84.510044943699555</v>
      </c>
      <c r="D30" s="39" t="s">
        <v>71</v>
      </c>
      <c r="E30" s="4" t="s">
        <v>117</v>
      </c>
    </row>
    <row r="32" spans="2:16" ht="18" customHeight="1" x14ac:dyDescent="0.3">
      <c r="B32" s="118" t="s">
        <v>79</v>
      </c>
      <c r="C32" s="118" t="s">
        <v>33</v>
      </c>
      <c r="D32" s="119" t="s">
        <v>82</v>
      </c>
      <c r="E32" s="120"/>
      <c r="F32" s="121"/>
      <c r="G32" s="118" t="s">
        <v>66</v>
      </c>
    </row>
    <row r="33" spans="2:22" s="43" customFormat="1" ht="18" customHeight="1" x14ac:dyDescent="0.25">
      <c r="B33" s="118"/>
      <c r="C33" s="118"/>
      <c r="D33" s="45" t="s">
        <v>80</v>
      </c>
      <c r="E33" s="47" t="s">
        <v>81</v>
      </c>
      <c r="F33" s="46" t="s">
        <v>83</v>
      </c>
      <c r="G33" s="118"/>
      <c r="P33" s="44"/>
    </row>
    <row r="34" spans="2:22" ht="24.95" customHeight="1" x14ac:dyDescent="0.25">
      <c r="B34" s="40" t="s">
        <v>77</v>
      </c>
      <c r="C34" s="41">
        <f>C15</f>
        <v>628</v>
      </c>
      <c r="D34" s="42">
        <f>C18</f>
        <v>216.60137569603668</v>
      </c>
      <c r="E34" s="42"/>
      <c r="F34" s="42">
        <f>C34-D34</f>
        <v>411.39862430396329</v>
      </c>
      <c r="G34" s="41" t="s">
        <v>73</v>
      </c>
    </row>
    <row r="35" spans="2:22" ht="24.95" customHeight="1" x14ac:dyDescent="0.25">
      <c r="B35" s="40" t="s">
        <v>78</v>
      </c>
      <c r="C35" s="41">
        <f>SUM(D35:F35)</f>
        <v>609.80548444153283</v>
      </c>
      <c r="D35" s="42">
        <f>C18-C19</f>
        <v>95.30460530625615</v>
      </c>
      <c r="E35" s="42">
        <f>C30*1.22</f>
        <v>103.10225483131346</v>
      </c>
      <c r="F35" s="42">
        <f>F34</f>
        <v>411.39862430396329</v>
      </c>
      <c r="G35" s="41" t="str">
        <f>G34</f>
        <v>€/anno</v>
      </c>
    </row>
    <row r="37" spans="2:22" ht="24.95" customHeight="1" x14ac:dyDescent="0.25">
      <c r="B37" s="1" t="s">
        <v>94</v>
      </c>
    </row>
    <row r="38" spans="2:22" ht="24.95" customHeight="1" x14ac:dyDescent="0.25">
      <c r="B38" s="12" t="s">
        <v>89</v>
      </c>
      <c r="C38" s="20">
        <f>24*30</f>
        <v>720</v>
      </c>
      <c r="D38" s="13" t="s">
        <v>71</v>
      </c>
      <c r="E38" s="4" t="str">
        <f>E30</f>
        <v>IVA esclusa</v>
      </c>
    </row>
    <row r="39" spans="2:22" ht="24.95" customHeight="1" x14ac:dyDescent="0.25">
      <c r="B39" s="12" t="s">
        <v>87</v>
      </c>
      <c r="C39" s="20">
        <v>1</v>
      </c>
      <c r="D39" s="13" t="s">
        <v>57</v>
      </c>
    </row>
    <row r="40" spans="2:22" ht="24.95" customHeight="1" x14ac:dyDescent="0.25">
      <c r="B40" s="12" t="s">
        <v>88</v>
      </c>
      <c r="C40" s="20">
        <v>10</v>
      </c>
      <c r="D40" s="13" t="s">
        <v>57</v>
      </c>
    </row>
    <row r="41" spans="2:22" ht="24.95" customHeight="1" x14ac:dyDescent="0.25">
      <c r="B41" s="48" t="s">
        <v>85</v>
      </c>
      <c r="C41" s="31">
        <v>1</v>
      </c>
      <c r="D41" s="31">
        <v>2</v>
      </c>
      <c r="E41" s="31">
        <v>3</v>
      </c>
      <c r="F41" s="31">
        <v>4</v>
      </c>
      <c r="G41" s="31">
        <v>5</v>
      </c>
      <c r="H41" s="31">
        <v>6</v>
      </c>
      <c r="I41" s="31">
        <v>7</v>
      </c>
      <c r="J41" s="31">
        <v>8</v>
      </c>
      <c r="K41" s="31">
        <v>9</v>
      </c>
      <c r="L41" s="31">
        <v>10</v>
      </c>
      <c r="M41" s="31">
        <v>11</v>
      </c>
      <c r="N41" s="31">
        <v>12</v>
      </c>
      <c r="O41" s="31">
        <v>13</v>
      </c>
      <c r="P41" s="31">
        <v>14</v>
      </c>
      <c r="Q41" s="31">
        <v>15</v>
      </c>
      <c r="R41" s="31">
        <v>16</v>
      </c>
      <c r="S41" s="31">
        <v>17</v>
      </c>
      <c r="T41" s="31">
        <v>18</v>
      </c>
      <c r="U41" s="31">
        <v>19</v>
      </c>
      <c r="V41" s="31">
        <v>20</v>
      </c>
    </row>
    <row r="42" spans="2:22" ht="24.95" customHeight="1" x14ac:dyDescent="0.25">
      <c r="B42" s="12" t="s">
        <v>90</v>
      </c>
      <c r="C42" s="14">
        <f>-C38</f>
        <v>-720</v>
      </c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</row>
    <row r="43" spans="2:22" ht="24.95" customHeight="1" x14ac:dyDescent="0.25">
      <c r="B43" s="12" t="s">
        <v>91</v>
      </c>
      <c r="C43" s="14">
        <f>C30</f>
        <v>84.510044943699555</v>
      </c>
      <c r="D43" s="53">
        <f>$C$43*((1+$C$39/100)^(D41-1))</f>
        <v>85.355145393136553</v>
      </c>
      <c r="E43" s="53">
        <f t="shared" ref="E43:V43" si="0">$C$43*((1+$C$39/100)^(E41-1))</f>
        <v>86.208696847067912</v>
      </c>
      <c r="F43" s="53">
        <f t="shared" si="0"/>
        <v>87.07078381553859</v>
      </c>
      <c r="G43" s="53">
        <f t="shared" si="0"/>
        <v>87.941491653693987</v>
      </c>
      <c r="H43" s="53">
        <f t="shared" si="0"/>
        <v>88.820906570230918</v>
      </c>
      <c r="I43" s="53">
        <f t="shared" si="0"/>
        <v>89.709115635933244</v>
      </c>
      <c r="J43" s="53">
        <f t="shared" si="0"/>
        <v>90.606206792292554</v>
      </c>
      <c r="K43" s="53">
        <f t="shared" si="0"/>
        <v>91.512268860215499</v>
      </c>
      <c r="L43" s="53">
        <f t="shared" si="0"/>
        <v>92.427391548817667</v>
      </c>
      <c r="M43" s="53">
        <f t="shared" si="0"/>
        <v>93.351665464305839</v>
      </c>
      <c r="N43" s="53">
        <f t="shared" si="0"/>
        <v>94.285182118948882</v>
      </c>
      <c r="O43" s="53">
        <f t="shared" si="0"/>
        <v>95.228033940138374</v>
      </c>
      <c r="P43" s="53">
        <f t="shared" si="0"/>
        <v>96.180314279539758</v>
      </c>
      <c r="Q43" s="53">
        <f t="shared" si="0"/>
        <v>97.142117422335161</v>
      </c>
      <c r="R43" s="53">
        <f t="shared" si="0"/>
        <v>98.113538596558485</v>
      </c>
      <c r="S43" s="53">
        <f t="shared" si="0"/>
        <v>99.0946739825241</v>
      </c>
      <c r="T43" s="53">
        <f t="shared" si="0"/>
        <v>100.08562072234935</v>
      </c>
      <c r="U43" s="53">
        <f t="shared" si="0"/>
        <v>101.08647692957285</v>
      </c>
      <c r="V43" s="53">
        <f t="shared" si="0"/>
        <v>102.09734169886856</v>
      </c>
    </row>
    <row r="44" spans="2:22" ht="24.95" customHeight="1" x14ac:dyDescent="0.25">
      <c r="B44" s="49" t="s">
        <v>92</v>
      </c>
      <c r="C44" s="50">
        <f>C43+C42</f>
        <v>-635.48995505630046</v>
      </c>
      <c r="D44" s="50">
        <f t="shared" ref="D44:V44" si="1">D43+D42</f>
        <v>85.355145393136553</v>
      </c>
      <c r="E44" s="50">
        <f t="shared" si="1"/>
        <v>86.208696847067912</v>
      </c>
      <c r="F44" s="50">
        <f t="shared" si="1"/>
        <v>87.07078381553859</v>
      </c>
      <c r="G44" s="50">
        <f t="shared" si="1"/>
        <v>87.941491653693987</v>
      </c>
      <c r="H44" s="50">
        <f t="shared" si="1"/>
        <v>88.820906570230918</v>
      </c>
      <c r="I44" s="50">
        <f t="shared" si="1"/>
        <v>89.709115635933244</v>
      </c>
      <c r="J44" s="50">
        <f t="shared" si="1"/>
        <v>90.606206792292554</v>
      </c>
      <c r="K44" s="50">
        <f t="shared" si="1"/>
        <v>91.512268860215499</v>
      </c>
      <c r="L44" s="50">
        <f t="shared" si="1"/>
        <v>92.427391548817667</v>
      </c>
      <c r="M44" s="50">
        <f t="shared" si="1"/>
        <v>93.351665464305839</v>
      </c>
      <c r="N44" s="50">
        <f t="shared" si="1"/>
        <v>94.285182118948882</v>
      </c>
      <c r="O44" s="50">
        <f t="shared" si="1"/>
        <v>95.228033940138374</v>
      </c>
      <c r="P44" s="50">
        <f t="shared" si="1"/>
        <v>96.180314279539758</v>
      </c>
      <c r="Q44" s="50">
        <f t="shared" si="1"/>
        <v>97.142117422335161</v>
      </c>
      <c r="R44" s="50">
        <f t="shared" si="1"/>
        <v>98.113538596558485</v>
      </c>
      <c r="S44" s="50">
        <f t="shared" si="1"/>
        <v>99.0946739825241</v>
      </c>
      <c r="T44" s="50">
        <f t="shared" si="1"/>
        <v>100.08562072234935</v>
      </c>
      <c r="U44" s="50">
        <f t="shared" si="1"/>
        <v>101.08647692957285</v>
      </c>
      <c r="V44" s="50">
        <f t="shared" si="1"/>
        <v>102.09734169886856</v>
      </c>
    </row>
    <row r="45" spans="2:22" ht="24.95" customHeight="1" x14ac:dyDescent="0.25">
      <c r="B45" s="51" t="s">
        <v>93</v>
      </c>
      <c r="C45" s="39"/>
      <c r="D45" s="39"/>
      <c r="E45" s="39">
        <f>NPV($C$40/100,$C$44:E44)</f>
        <v>-442.40682857896724</v>
      </c>
      <c r="F45" s="39">
        <f>NPV($C$40/100,$C$44:F44)</f>
        <v>-382.93631166377116</v>
      </c>
      <c r="G45" s="39">
        <f>NPV($C$40/100,$C$44:G44)</f>
        <v>-328.3315643143639</v>
      </c>
      <c r="H45" s="39">
        <f>NPV($C$40/100,$C$44:H44)</f>
        <v>-278.19447811172626</v>
      </c>
      <c r="I45" s="39">
        <f>NPV($C$40/100,$C$44:I44)</f>
        <v>-232.15951714384994</v>
      </c>
      <c r="J45" s="39">
        <f>NPV($C$40/100,$C$44:J44)</f>
        <v>-189.89105298243621</v>
      </c>
      <c r="K45" s="39">
        <f>NPV($C$40/100,$C$44:K44)</f>
        <v>-151.08091770695631</v>
      </c>
      <c r="L45" s="39">
        <f>NPV($C$40/100,$C$44:L44)</f>
        <v>-115.44615713583387</v>
      </c>
      <c r="M45" s="39">
        <f>NPV($C$40/100,$C$44:M44)</f>
        <v>-82.72696788416691</v>
      </c>
      <c r="N45" s="39">
        <f>NPV($C$40/100,$C$44:N44)</f>
        <v>-52.684803207636349</v>
      </c>
      <c r="O45" s="39">
        <f>NPV($C$40/100,$C$44:O44)</f>
        <v>-25.100633822821923</v>
      </c>
      <c r="P45" s="39">
        <f>NPV($C$40/100,$C$44:P44)</f>
        <v>0.22664897596222677</v>
      </c>
      <c r="Q45" s="39">
        <f>NPV($C$40/100,$C$44:Q44)</f>
        <v>23.481699545754946</v>
      </c>
      <c r="R45" s="39">
        <f>NPV($C$40/100,$C$44:R44)</f>
        <v>44.834064159837347</v>
      </c>
      <c r="S45" s="39">
        <f>NPV($C$40/100,$C$44:S44)</f>
        <v>64.439417123676648</v>
      </c>
      <c r="T45" s="39">
        <f>NPV($C$40/100,$C$44:T44)</f>
        <v>82.440695754110919</v>
      </c>
      <c r="U45" s="39">
        <f>NPV($C$40/100,$C$44:U44)</f>
        <v>98.969142496600568</v>
      </c>
      <c r="V45" s="39">
        <f>NPV($C$40/100,$C$44:V44)</f>
        <v>114.14526177834105</v>
      </c>
    </row>
    <row r="46" spans="2:22" ht="24.95" customHeight="1" x14ac:dyDescent="0.25">
      <c r="B46" s="37" t="s">
        <v>100</v>
      </c>
      <c r="C46" s="36">
        <f>IF(COUNTBLANK(E46:V46)=18,"",COUNTIF(E46:V46,"x")+3)</f>
        <v>14</v>
      </c>
      <c r="D46" s="52" t="s">
        <v>98</v>
      </c>
      <c r="E46" s="56" t="str">
        <f>IF(E45&lt;0,"x","")</f>
        <v>x</v>
      </c>
      <c r="F46" s="56" t="str">
        <f t="shared" ref="F46:V46" si="2">IF(F45&lt;0,"x","")</f>
        <v>x</v>
      </c>
      <c r="G46" s="56" t="str">
        <f t="shared" si="2"/>
        <v>x</v>
      </c>
      <c r="H46" s="56" t="str">
        <f t="shared" si="2"/>
        <v>x</v>
      </c>
      <c r="I46" s="56" t="str">
        <f t="shared" si="2"/>
        <v>x</v>
      </c>
      <c r="J46" s="56" t="str">
        <f t="shared" si="2"/>
        <v>x</v>
      </c>
      <c r="K46" s="56" t="str">
        <f t="shared" si="2"/>
        <v>x</v>
      </c>
      <c r="L46" s="56" t="str">
        <f t="shared" si="2"/>
        <v>x</v>
      </c>
      <c r="M46" s="56" t="str">
        <f t="shared" si="2"/>
        <v>x</v>
      </c>
      <c r="N46" s="56" t="str">
        <f t="shared" si="2"/>
        <v>x</v>
      </c>
      <c r="O46" s="56" t="str">
        <f t="shared" si="2"/>
        <v>x</v>
      </c>
      <c r="P46" s="56" t="str">
        <f t="shared" si="2"/>
        <v/>
      </c>
      <c r="Q46" s="56" t="str">
        <f t="shared" si="2"/>
        <v/>
      </c>
      <c r="R46" s="56" t="str">
        <f t="shared" si="2"/>
        <v/>
      </c>
      <c r="S46" s="56" t="str">
        <f t="shared" si="2"/>
        <v/>
      </c>
      <c r="T46" s="56" t="str">
        <f t="shared" si="2"/>
        <v/>
      </c>
      <c r="U46" s="56" t="str">
        <f t="shared" si="2"/>
        <v/>
      </c>
      <c r="V46" s="56" t="str">
        <f t="shared" si="2"/>
        <v/>
      </c>
    </row>
    <row r="47" spans="2:22" ht="24.95" customHeight="1" x14ac:dyDescent="0.25">
      <c r="B47" s="12" t="s">
        <v>108</v>
      </c>
      <c r="C47" s="14">
        <f>C42/-C43</f>
        <v>8.5196972795324246</v>
      </c>
      <c r="D47" s="13" t="s">
        <v>98</v>
      </c>
    </row>
    <row r="49" spans="2:22" ht="24.95" customHeight="1" x14ac:dyDescent="0.25">
      <c r="B49" s="1" t="s">
        <v>95</v>
      </c>
    </row>
    <row r="50" spans="2:22" ht="24.95" customHeight="1" x14ac:dyDescent="0.25">
      <c r="B50" s="12" t="s">
        <v>96</v>
      </c>
      <c r="C50" s="35">
        <v>30000</v>
      </c>
      <c r="D50" s="13" t="s">
        <v>67</v>
      </c>
    </row>
    <row r="51" spans="2:22" ht="24.95" customHeight="1" x14ac:dyDescent="0.25">
      <c r="B51" s="12" t="s">
        <v>97</v>
      </c>
      <c r="C51" s="35">
        <v>1200</v>
      </c>
      <c r="D51" s="13" t="s">
        <v>99</v>
      </c>
    </row>
    <row r="52" spans="2:22" ht="24.95" customHeight="1" x14ac:dyDescent="0.25">
      <c r="B52" s="12" t="s">
        <v>96</v>
      </c>
      <c r="C52" s="35">
        <f>C50/C51</f>
        <v>25</v>
      </c>
      <c r="D52" s="13" t="s">
        <v>98</v>
      </c>
    </row>
    <row r="53" spans="2:22" ht="24.95" customHeight="1" x14ac:dyDescent="0.25">
      <c r="B53" s="37" t="s">
        <v>109</v>
      </c>
      <c r="C53" s="54">
        <f>C52/C46</f>
        <v>1.7857142857142858</v>
      </c>
      <c r="D53" s="52" t="str">
        <f>IF(C53="","",IF(C53&gt;1,"OK","no"))</f>
        <v>OK</v>
      </c>
    </row>
    <row r="55" spans="2:22" ht="24.95" customHeight="1" x14ac:dyDescent="0.25">
      <c r="B55" s="1" t="s">
        <v>101</v>
      </c>
    </row>
    <row r="56" spans="2:22" ht="24.95" customHeight="1" x14ac:dyDescent="0.25">
      <c r="B56" s="12" t="s">
        <v>87</v>
      </c>
      <c r="C56" s="20">
        <f>C39</f>
        <v>1</v>
      </c>
      <c r="D56" s="13" t="s">
        <v>57</v>
      </c>
    </row>
    <row r="57" spans="2:22" ht="24.95" customHeight="1" x14ac:dyDescent="0.25">
      <c r="B57" s="12" t="s">
        <v>102</v>
      </c>
      <c r="C57" s="20">
        <v>1</v>
      </c>
      <c r="D57" s="13" t="s">
        <v>57</v>
      </c>
    </row>
    <row r="58" spans="2:22" ht="24.95" customHeight="1" x14ac:dyDescent="0.25">
      <c r="B58" s="12" t="s">
        <v>103</v>
      </c>
      <c r="C58" s="20">
        <v>2.5</v>
      </c>
      <c r="D58" s="13" t="s">
        <v>57</v>
      </c>
    </row>
    <row r="59" spans="2:22" ht="24.95" customHeight="1" x14ac:dyDescent="0.25">
      <c r="B59" s="48" t="s">
        <v>85</v>
      </c>
      <c r="C59" s="31">
        <v>1</v>
      </c>
      <c r="D59" s="31">
        <v>2</v>
      </c>
      <c r="E59" s="31">
        <v>3</v>
      </c>
      <c r="F59" s="31">
        <v>4</v>
      </c>
      <c r="G59" s="31">
        <v>5</v>
      </c>
      <c r="H59" s="31">
        <v>6</v>
      </c>
      <c r="I59" s="31">
        <v>7</v>
      </c>
      <c r="J59" s="31">
        <v>8</v>
      </c>
      <c r="K59" s="31">
        <v>9</v>
      </c>
      <c r="L59" s="31">
        <v>10</v>
      </c>
      <c r="M59" s="31">
        <v>11</v>
      </c>
      <c r="N59" s="31">
        <v>12</v>
      </c>
      <c r="O59" s="31">
        <v>13</v>
      </c>
      <c r="P59" s="31">
        <v>14</v>
      </c>
      <c r="Q59" s="31">
        <v>15</v>
      </c>
      <c r="R59" s="31">
        <v>16</v>
      </c>
      <c r="S59" s="31">
        <v>17</v>
      </c>
      <c r="T59" s="31">
        <v>18</v>
      </c>
      <c r="U59" s="31">
        <v>19</v>
      </c>
      <c r="V59" s="31">
        <v>20</v>
      </c>
    </row>
    <row r="60" spans="2:22" ht="24.95" customHeight="1" x14ac:dyDescent="0.25">
      <c r="B60" s="12" t="s">
        <v>104</v>
      </c>
      <c r="C60" s="14">
        <f>C15</f>
        <v>628</v>
      </c>
      <c r="D60" s="53">
        <f>$C$60*((1+$C$57/100)^(D59-1))</f>
        <v>634.28</v>
      </c>
      <c r="E60" s="53">
        <f t="shared" ref="E60:V60" si="3">$C$60*((1+$C$57/100)^(E59-1))</f>
        <v>640.62279999999998</v>
      </c>
      <c r="F60" s="53">
        <f t="shared" si="3"/>
        <v>647.02902799999993</v>
      </c>
      <c r="G60" s="53">
        <f t="shared" si="3"/>
        <v>653.49931828000001</v>
      </c>
      <c r="H60" s="53">
        <f t="shared" si="3"/>
        <v>660.03431146279991</v>
      </c>
      <c r="I60" s="53">
        <f t="shared" si="3"/>
        <v>666.63465457742814</v>
      </c>
      <c r="J60" s="53">
        <f t="shared" si="3"/>
        <v>673.30100112320213</v>
      </c>
      <c r="K60" s="53">
        <f t="shared" si="3"/>
        <v>680.03401113443442</v>
      </c>
      <c r="L60" s="53">
        <f t="shared" si="3"/>
        <v>686.83435124577875</v>
      </c>
      <c r="M60" s="53">
        <f t="shared" si="3"/>
        <v>693.70269475823659</v>
      </c>
      <c r="N60" s="53">
        <f t="shared" si="3"/>
        <v>700.63972170581883</v>
      </c>
      <c r="O60" s="53">
        <f t="shared" si="3"/>
        <v>707.64611892287701</v>
      </c>
      <c r="P60" s="53">
        <f t="shared" si="3"/>
        <v>714.72258011210579</v>
      </c>
      <c r="Q60" s="53">
        <f t="shared" si="3"/>
        <v>721.86980591322697</v>
      </c>
      <c r="R60" s="53">
        <f t="shared" si="3"/>
        <v>729.08850397235904</v>
      </c>
      <c r="S60" s="53">
        <f t="shared" si="3"/>
        <v>736.37938901208281</v>
      </c>
      <c r="T60" s="53">
        <f t="shared" si="3"/>
        <v>743.74318290220367</v>
      </c>
      <c r="U60" s="53">
        <f t="shared" si="3"/>
        <v>751.18061473122577</v>
      </c>
      <c r="V60" s="53">
        <f t="shared" si="3"/>
        <v>758.69242087853786</v>
      </c>
    </row>
    <row r="61" spans="2:22" ht="24.95" customHeight="1" x14ac:dyDescent="0.25">
      <c r="B61" s="12" t="s">
        <v>105</v>
      </c>
      <c r="C61" s="14">
        <f>D35+F35</f>
        <v>506.70322961021941</v>
      </c>
      <c r="D61" s="53">
        <f>$C$61*((1+$C$57/100)^(D59-1))</f>
        <v>511.77026190632159</v>
      </c>
      <c r="E61" s="53">
        <f t="shared" ref="E61:V61" si="4">$C$61*((1+$C$57/100)^(E59-1))</f>
        <v>516.88796452538486</v>
      </c>
      <c r="F61" s="53">
        <f t="shared" si="4"/>
        <v>522.05684417063867</v>
      </c>
      <c r="G61" s="53">
        <f t="shared" si="4"/>
        <v>527.27741261234507</v>
      </c>
      <c r="H61" s="53">
        <f t="shared" si="4"/>
        <v>532.55018673846848</v>
      </c>
      <c r="I61" s="53">
        <f t="shared" si="4"/>
        <v>537.87568860585327</v>
      </c>
      <c r="J61" s="53">
        <f t="shared" si="4"/>
        <v>543.25444549191161</v>
      </c>
      <c r="K61" s="53">
        <f t="shared" si="4"/>
        <v>548.68698994683086</v>
      </c>
      <c r="L61" s="53">
        <f t="shared" si="4"/>
        <v>554.17385984629925</v>
      </c>
      <c r="M61" s="53">
        <f t="shared" si="4"/>
        <v>559.71559844476224</v>
      </c>
      <c r="N61" s="53">
        <f t="shared" si="4"/>
        <v>565.3127544292098</v>
      </c>
      <c r="O61" s="53">
        <f t="shared" si="4"/>
        <v>570.96588197350184</v>
      </c>
      <c r="P61" s="53">
        <f t="shared" si="4"/>
        <v>576.67554079323691</v>
      </c>
      <c r="Q61" s="53">
        <f t="shared" si="4"/>
        <v>582.44229620116937</v>
      </c>
      <c r="R61" s="53">
        <f t="shared" si="4"/>
        <v>588.26671916318094</v>
      </c>
      <c r="S61" s="53">
        <f t="shared" si="4"/>
        <v>594.14938635481292</v>
      </c>
      <c r="T61" s="53">
        <f t="shared" si="4"/>
        <v>600.09088021836101</v>
      </c>
      <c r="U61" s="53">
        <f t="shared" si="4"/>
        <v>606.09178902054464</v>
      </c>
      <c r="V61" s="53">
        <f t="shared" si="4"/>
        <v>612.15270691075</v>
      </c>
    </row>
    <row r="62" spans="2:22" ht="24.95" customHeight="1" x14ac:dyDescent="0.25">
      <c r="B62" s="12" t="s">
        <v>91</v>
      </c>
      <c r="C62" s="14">
        <f>E35</f>
        <v>103.10225483131346</v>
      </c>
      <c r="D62" s="53">
        <f>$C$62*((1+$C$56/100)^(D59-1))</f>
        <v>104.13327737962659</v>
      </c>
      <c r="E62" s="53">
        <f>$C$62*((1+$C$56/100)^(E59-1))</f>
        <v>105.17461015342286</v>
      </c>
      <c r="F62" s="53">
        <f t="shared" ref="F62:V62" si="5">IF(E45&lt;0,$C$62*((1+$C$56/100)^(F59-1)),0)</f>
        <v>106.22635625495708</v>
      </c>
      <c r="G62" s="53">
        <f t="shared" si="5"/>
        <v>107.28861981750666</v>
      </c>
      <c r="H62" s="53">
        <f t="shared" si="5"/>
        <v>108.36150601568171</v>
      </c>
      <c r="I62" s="53">
        <f t="shared" si="5"/>
        <v>109.44512107583856</v>
      </c>
      <c r="J62" s="53">
        <f t="shared" si="5"/>
        <v>110.53957228659691</v>
      </c>
      <c r="K62" s="53">
        <f t="shared" si="5"/>
        <v>111.64496800946291</v>
      </c>
      <c r="L62" s="53">
        <f t="shared" si="5"/>
        <v>112.76141768955755</v>
      </c>
      <c r="M62" s="53">
        <f t="shared" si="5"/>
        <v>113.88903186645312</v>
      </c>
      <c r="N62" s="53">
        <f t="shared" si="5"/>
        <v>115.02792218511763</v>
      </c>
      <c r="O62" s="53">
        <f t="shared" si="5"/>
        <v>116.17820140696881</v>
      </c>
      <c r="P62" s="53">
        <f t="shared" si="5"/>
        <v>117.33998342103851</v>
      </c>
      <c r="Q62" s="53">
        <f t="shared" si="5"/>
        <v>0</v>
      </c>
      <c r="R62" s="53">
        <f t="shared" si="5"/>
        <v>0</v>
      </c>
      <c r="S62" s="53">
        <f t="shared" si="5"/>
        <v>0</v>
      </c>
      <c r="T62" s="53">
        <f t="shared" si="5"/>
        <v>0</v>
      </c>
      <c r="U62" s="53">
        <f t="shared" si="5"/>
        <v>0</v>
      </c>
      <c r="V62" s="53">
        <f t="shared" si="5"/>
        <v>0</v>
      </c>
    </row>
    <row r="63" spans="2:22" ht="24.95" customHeight="1" x14ac:dyDescent="0.25">
      <c r="B63" s="49" t="s">
        <v>106</v>
      </c>
      <c r="C63" s="50">
        <f>C60-SUM(C61:C62)</f>
        <v>18.194515558467174</v>
      </c>
      <c r="D63" s="50">
        <f t="shared" ref="D63:V63" si="6">D60-(D61+D62)</f>
        <v>18.376460714051746</v>
      </c>
      <c r="E63" s="50">
        <f t="shared" si="6"/>
        <v>18.560225321192206</v>
      </c>
      <c r="F63" s="50">
        <f t="shared" si="6"/>
        <v>18.745827574404188</v>
      </c>
      <c r="G63" s="50">
        <f t="shared" si="6"/>
        <v>18.933285850148309</v>
      </c>
      <c r="H63" s="50">
        <f t="shared" si="6"/>
        <v>19.122618708649725</v>
      </c>
      <c r="I63" s="50">
        <f t="shared" si="6"/>
        <v>19.313844895736338</v>
      </c>
      <c r="J63" s="50">
        <f t="shared" si="6"/>
        <v>19.506983344693595</v>
      </c>
      <c r="K63" s="50">
        <f t="shared" si="6"/>
        <v>19.702053178140659</v>
      </c>
      <c r="L63" s="50">
        <f t="shared" si="6"/>
        <v>19.899073709921936</v>
      </c>
      <c r="M63" s="50">
        <f t="shared" si="6"/>
        <v>20.098064447021216</v>
      </c>
      <c r="N63" s="50">
        <f t="shared" si="6"/>
        <v>20.299045091491394</v>
      </c>
      <c r="O63" s="50">
        <f t="shared" si="6"/>
        <v>20.502035542406361</v>
      </c>
      <c r="P63" s="50">
        <f t="shared" si="6"/>
        <v>20.707055897830401</v>
      </c>
      <c r="Q63" s="50">
        <f t="shared" si="6"/>
        <v>139.4275097120576</v>
      </c>
      <c r="R63" s="50">
        <f t="shared" si="6"/>
        <v>140.8217848091781</v>
      </c>
      <c r="S63" s="50">
        <f t="shared" si="6"/>
        <v>142.23000265726989</v>
      </c>
      <c r="T63" s="50">
        <f t="shared" si="6"/>
        <v>143.65230268384266</v>
      </c>
      <c r="U63" s="50">
        <f t="shared" si="6"/>
        <v>145.08882571068114</v>
      </c>
      <c r="V63" s="50">
        <f t="shared" si="6"/>
        <v>146.53971396778786</v>
      </c>
    </row>
    <row r="64" spans="2:22" ht="24.95" customHeight="1" x14ac:dyDescent="0.25">
      <c r="B64" s="51" t="s">
        <v>107</v>
      </c>
      <c r="C64" s="39">
        <f>NPV(C58/100,C63:V63)</f>
        <v>783.09608308339034</v>
      </c>
      <c r="D64" s="52" t="s">
        <v>71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</row>
  </sheetData>
  <mergeCells count="8">
    <mergeCell ref="B22:B23"/>
    <mergeCell ref="C22:C23"/>
    <mergeCell ref="D22:F22"/>
    <mergeCell ref="G22:G23"/>
    <mergeCell ref="B32:B33"/>
    <mergeCell ref="C32:C33"/>
    <mergeCell ref="D32:F32"/>
    <mergeCell ref="G32:G33"/>
  </mergeCells>
  <conditionalFormatting sqref="C45:V45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53">
    <cfRule type="cellIs" dxfId="1" priority="1" operator="equal">
      <formula>"no"</formula>
    </cfRule>
    <cfRule type="cellIs" dxfId="0" priority="2" operator="equal">
      <formula>"OK"</formula>
    </cfRule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Esercizio 5.1</vt:lpstr>
      <vt:lpstr>Esercizio 5.2</vt:lpstr>
      <vt:lpstr>Esercizio 5.3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fabio.dandri</dc:creator>
  <cp:lastModifiedBy>fabio.dandri</cp:lastModifiedBy>
  <dcterms:created xsi:type="dcterms:W3CDTF">2017-05-12T06:46:30Z</dcterms:created>
  <dcterms:modified xsi:type="dcterms:W3CDTF">2017-06-08T08:05:24Z</dcterms:modified>
</cp:coreProperties>
</file>