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wel\prace_w_toku\HealingPlaces\141\"/>
    </mc:Choice>
  </mc:AlternateContent>
  <xr:revisionPtr revIDLastSave="0" documentId="13_ncr:1_{10B643DE-A235-4B0E-A8C8-A05D68209AC3}" xr6:coauthVersionLast="36" xr6:coauthVersionMax="36" xr10:uidLastSave="{00000000-0000-0000-0000-000000000000}"/>
  <bookViews>
    <workbookView xWindow="-120" yWindow="-120" windowWidth="24240" windowHeight="17640" tabRatio="655" xr2:uid="{00000000-000D-0000-FFFF-FFFF00000000}"/>
  </bookViews>
  <sheets>
    <sheet name="Indicators calculations" sheetId="6" r:id="rId1"/>
    <sheet name="Visualisation &amp; benchmarking" sheetId="8" r:id="rId2"/>
    <sheet name="Main database" sheetId="5" r:id="rId3"/>
    <sheet name="GW vulnerability algorithm" sheetId="7" r:id="rId4"/>
    <sheet name="data" sheetId="3" state="hidden" r:id="rId5"/>
    <sheet name=" LandCover database" sheetId="9" r:id="rId6"/>
  </sheets>
  <definedNames>
    <definedName name="_xlnm._FilterDatabase" localSheetId="2" hidden="1">'Main database'!$A$2:$AB$52</definedName>
  </definedNames>
  <calcPr calcId="191029"/>
</workbook>
</file>

<file path=xl/calcChain.xml><?xml version="1.0" encoding="utf-8"?>
<calcChain xmlns="http://schemas.openxmlformats.org/spreadsheetml/2006/main">
  <c r="G55" i="8" l="1"/>
  <c r="G54" i="8"/>
  <c r="F55" i="8"/>
  <c r="F54" i="8"/>
  <c r="B46" i="8"/>
  <c r="G65" i="8"/>
  <c r="F65" i="8"/>
  <c r="E65" i="8"/>
  <c r="D65" i="8"/>
  <c r="C65" i="8"/>
  <c r="E17" i="8"/>
  <c r="E16" i="8"/>
  <c r="E14" i="8"/>
  <c r="E13" i="8"/>
  <c r="G15" i="8"/>
  <c r="F15" i="8"/>
  <c r="T21" i="5"/>
  <c r="T22" i="5"/>
  <c r="T20" i="5"/>
  <c r="F16" i="8"/>
  <c r="G56" i="8" l="1"/>
  <c r="F56" i="8"/>
  <c r="G60" i="8"/>
  <c r="F60" i="8"/>
  <c r="B34" i="8"/>
  <c r="B22" i="8"/>
  <c r="D51" i="9" l="1"/>
  <c r="D96" i="9" s="1"/>
  <c r="E51" i="9"/>
  <c r="E96" i="9" s="1"/>
  <c r="F51" i="9"/>
  <c r="F96" i="9" s="1"/>
  <c r="G51" i="9"/>
  <c r="G96" i="9" s="1"/>
  <c r="H51" i="9"/>
  <c r="H96" i="9" s="1"/>
  <c r="I51" i="9"/>
  <c r="I96" i="9" s="1"/>
  <c r="J51" i="9"/>
  <c r="J96" i="9" s="1"/>
  <c r="K51" i="9"/>
  <c r="K96" i="9" s="1"/>
  <c r="L51" i="9"/>
  <c r="L96" i="9" s="1"/>
  <c r="M51" i="9"/>
  <c r="M96" i="9" s="1"/>
  <c r="N51" i="9"/>
  <c r="N96" i="9" s="1"/>
  <c r="O51" i="9"/>
  <c r="O96" i="9" s="1"/>
  <c r="P51" i="9"/>
  <c r="P96" i="9" s="1"/>
  <c r="Q51" i="9"/>
  <c r="Q96" i="9" s="1"/>
  <c r="R51" i="9"/>
  <c r="R96" i="9" s="1"/>
  <c r="D52" i="9"/>
  <c r="D97" i="9" s="1"/>
  <c r="E52" i="9"/>
  <c r="E97" i="9" s="1"/>
  <c r="F52" i="9"/>
  <c r="F97" i="9" s="1"/>
  <c r="G52" i="9"/>
  <c r="G97" i="9" s="1"/>
  <c r="H52" i="9"/>
  <c r="H97" i="9" s="1"/>
  <c r="I52" i="9"/>
  <c r="I97" i="9" s="1"/>
  <c r="J52" i="9"/>
  <c r="J97" i="9" s="1"/>
  <c r="K52" i="9"/>
  <c r="K97" i="9" s="1"/>
  <c r="L52" i="9"/>
  <c r="L97" i="9" s="1"/>
  <c r="M52" i="9"/>
  <c r="M97" i="9" s="1"/>
  <c r="N52" i="9"/>
  <c r="N97" i="9" s="1"/>
  <c r="O52" i="9"/>
  <c r="O97" i="9" s="1"/>
  <c r="P52" i="9"/>
  <c r="P97" i="9" s="1"/>
  <c r="Q52" i="9"/>
  <c r="Q97" i="9" s="1"/>
  <c r="R52" i="9"/>
  <c r="R97" i="9" s="1"/>
  <c r="D53" i="9"/>
  <c r="D98" i="9" s="1"/>
  <c r="E53" i="9"/>
  <c r="E98" i="9" s="1"/>
  <c r="F53" i="9"/>
  <c r="F98" i="9" s="1"/>
  <c r="G53" i="9"/>
  <c r="G98" i="9" s="1"/>
  <c r="H53" i="9"/>
  <c r="H98" i="9" s="1"/>
  <c r="I53" i="9"/>
  <c r="I98" i="9" s="1"/>
  <c r="J53" i="9"/>
  <c r="J98" i="9" s="1"/>
  <c r="K53" i="9"/>
  <c r="K98" i="9" s="1"/>
  <c r="L53" i="9"/>
  <c r="L98" i="9" s="1"/>
  <c r="M53" i="9"/>
  <c r="M98" i="9" s="1"/>
  <c r="N53" i="9"/>
  <c r="N98" i="9" s="1"/>
  <c r="O53" i="9"/>
  <c r="O98" i="9" s="1"/>
  <c r="P53" i="9"/>
  <c r="P98" i="9" s="1"/>
  <c r="Q53" i="9"/>
  <c r="Q98" i="9" s="1"/>
  <c r="R53" i="9"/>
  <c r="R98" i="9" s="1"/>
  <c r="D54" i="9"/>
  <c r="D99" i="9" s="1"/>
  <c r="E54" i="9"/>
  <c r="E99" i="9" s="1"/>
  <c r="F54" i="9"/>
  <c r="F99" i="9" s="1"/>
  <c r="G54" i="9"/>
  <c r="G99" i="9" s="1"/>
  <c r="H54" i="9"/>
  <c r="H99" i="9" s="1"/>
  <c r="I54" i="9"/>
  <c r="I99" i="9" s="1"/>
  <c r="J54" i="9"/>
  <c r="J99" i="9" s="1"/>
  <c r="K54" i="9"/>
  <c r="K99" i="9" s="1"/>
  <c r="L54" i="9"/>
  <c r="L99" i="9" s="1"/>
  <c r="M54" i="9"/>
  <c r="M99" i="9" s="1"/>
  <c r="N54" i="9"/>
  <c r="N99" i="9" s="1"/>
  <c r="O54" i="9"/>
  <c r="O99" i="9" s="1"/>
  <c r="P54" i="9"/>
  <c r="P99" i="9" s="1"/>
  <c r="Q54" i="9"/>
  <c r="Q99" i="9" s="1"/>
  <c r="R54" i="9"/>
  <c r="R99" i="9" s="1"/>
  <c r="D55" i="9"/>
  <c r="D100" i="9" s="1"/>
  <c r="E55" i="9"/>
  <c r="E100" i="9" s="1"/>
  <c r="F55" i="9"/>
  <c r="F100" i="9" s="1"/>
  <c r="G55" i="9"/>
  <c r="G100" i="9" s="1"/>
  <c r="H55" i="9"/>
  <c r="H100" i="9" s="1"/>
  <c r="I55" i="9"/>
  <c r="I100" i="9" s="1"/>
  <c r="J55" i="9"/>
  <c r="J100" i="9" s="1"/>
  <c r="K55" i="9"/>
  <c r="K100" i="9" s="1"/>
  <c r="L55" i="9"/>
  <c r="L100" i="9" s="1"/>
  <c r="M55" i="9"/>
  <c r="M100" i="9" s="1"/>
  <c r="N55" i="9"/>
  <c r="N100" i="9" s="1"/>
  <c r="O55" i="9"/>
  <c r="O100" i="9" s="1"/>
  <c r="P55" i="9"/>
  <c r="P100" i="9" s="1"/>
  <c r="Q55" i="9"/>
  <c r="Q100" i="9" s="1"/>
  <c r="R55" i="9"/>
  <c r="R100" i="9" s="1"/>
  <c r="D56" i="9"/>
  <c r="D101" i="9" s="1"/>
  <c r="E56" i="9"/>
  <c r="E101" i="9" s="1"/>
  <c r="F56" i="9"/>
  <c r="F101" i="9" s="1"/>
  <c r="G56" i="9"/>
  <c r="G101" i="9" s="1"/>
  <c r="H56" i="9"/>
  <c r="H101" i="9" s="1"/>
  <c r="I56" i="9"/>
  <c r="I101" i="9" s="1"/>
  <c r="J56" i="9"/>
  <c r="J101" i="9" s="1"/>
  <c r="K56" i="9"/>
  <c r="K101" i="9" s="1"/>
  <c r="L56" i="9"/>
  <c r="L101" i="9" s="1"/>
  <c r="M56" i="9"/>
  <c r="M101" i="9" s="1"/>
  <c r="N56" i="9"/>
  <c r="N101" i="9" s="1"/>
  <c r="O56" i="9"/>
  <c r="O101" i="9" s="1"/>
  <c r="P56" i="9"/>
  <c r="P101" i="9" s="1"/>
  <c r="Q56" i="9"/>
  <c r="Q101" i="9" s="1"/>
  <c r="R56" i="9"/>
  <c r="R101" i="9" s="1"/>
  <c r="D57" i="9"/>
  <c r="D102" i="9" s="1"/>
  <c r="E57" i="9"/>
  <c r="E102" i="9" s="1"/>
  <c r="F57" i="9"/>
  <c r="F102" i="9" s="1"/>
  <c r="G57" i="9"/>
  <c r="G102" i="9" s="1"/>
  <c r="H57" i="9"/>
  <c r="H102" i="9" s="1"/>
  <c r="I57" i="9"/>
  <c r="I102" i="9" s="1"/>
  <c r="J57" i="9"/>
  <c r="J102" i="9" s="1"/>
  <c r="K57" i="9"/>
  <c r="K102" i="9" s="1"/>
  <c r="L57" i="9"/>
  <c r="L102" i="9" s="1"/>
  <c r="M57" i="9"/>
  <c r="M102" i="9" s="1"/>
  <c r="N57" i="9"/>
  <c r="N102" i="9" s="1"/>
  <c r="O57" i="9"/>
  <c r="O102" i="9" s="1"/>
  <c r="P57" i="9"/>
  <c r="P102" i="9" s="1"/>
  <c r="Q57" i="9"/>
  <c r="Q102" i="9" s="1"/>
  <c r="R57" i="9"/>
  <c r="R102" i="9" s="1"/>
  <c r="D58" i="9"/>
  <c r="D103" i="9" s="1"/>
  <c r="E58" i="9"/>
  <c r="E103" i="9" s="1"/>
  <c r="F58" i="9"/>
  <c r="F103" i="9" s="1"/>
  <c r="G58" i="9"/>
  <c r="G103" i="9" s="1"/>
  <c r="H58" i="9"/>
  <c r="H103" i="9" s="1"/>
  <c r="I58" i="9"/>
  <c r="I103" i="9" s="1"/>
  <c r="J58" i="9"/>
  <c r="J103" i="9" s="1"/>
  <c r="K58" i="9"/>
  <c r="K103" i="9" s="1"/>
  <c r="L58" i="9"/>
  <c r="L103" i="9" s="1"/>
  <c r="M58" i="9"/>
  <c r="M103" i="9" s="1"/>
  <c r="N58" i="9"/>
  <c r="N103" i="9" s="1"/>
  <c r="O58" i="9"/>
  <c r="O103" i="9" s="1"/>
  <c r="P58" i="9"/>
  <c r="P103" i="9" s="1"/>
  <c r="Q58" i="9"/>
  <c r="Q103" i="9" s="1"/>
  <c r="R58" i="9"/>
  <c r="R103" i="9" s="1"/>
  <c r="D59" i="9"/>
  <c r="D104" i="9" s="1"/>
  <c r="E59" i="9"/>
  <c r="E104" i="9" s="1"/>
  <c r="F59" i="9"/>
  <c r="F104" i="9" s="1"/>
  <c r="G59" i="9"/>
  <c r="G104" i="9" s="1"/>
  <c r="H59" i="9"/>
  <c r="H104" i="9" s="1"/>
  <c r="I59" i="9"/>
  <c r="I104" i="9" s="1"/>
  <c r="J59" i="9"/>
  <c r="J104" i="9" s="1"/>
  <c r="K59" i="9"/>
  <c r="K104" i="9" s="1"/>
  <c r="L59" i="9"/>
  <c r="L104" i="9" s="1"/>
  <c r="M59" i="9"/>
  <c r="M104" i="9" s="1"/>
  <c r="N59" i="9"/>
  <c r="N104" i="9" s="1"/>
  <c r="O59" i="9"/>
  <c r="O104" i="9" s="1"/>
  <c r="P59" i="9"/>
  <c r="P104" i="9" s="1"/>
  <c r="Q59" i="9"/>
  <c r="Q104" i="9" s="1"/>
  <c r="R59" i="9"/>
  <c r="R104" i="9" s="1"/>
  <c r="D60" i="9"/>
  <c r="D105" i="9" s="1"/>
  <c r="E60" i="9"/>
  <c r="E105" i="9" s="1"/>
  <c r="F60" i="9"/>
  <c r="F105" i="9" s="1"/>
  <c r="G60" i="9"/>
  <c r="G105" i="9" s="1"/>
  <c r="H60" i="9"/>
  <c r="H105" i="9" s="1"/>
  <c r="I60" i="9"/>
  <c r="I105" i="9" s="1"/>
  <c r="J60" i="9"/>
  <c r="J105" i="9" s="1"/>
  <c r="K60" i="9"/>
  <c r="K105" i="9" s="1"/>
  <c r="L60" i="9"/>
  <c r="L105" i="9" s="1"/>
  <c r="M60" i="9"/>
  <c r="M105" i="9" s="1"/>
  <c r="N60" i="9"/>
  <c r="N105" i="9" s="1"/>
  <c r="O60" i="9"/>
  <c r="O105" i="9" s="1"/>
  <c r="P60" i="9"/>
  <c r="P105" i="9" s="1"/>
  <c r="Q60" i="9"/>
  <c r="Q105" i="9" s="1"/>
  <c r="R60" i="9"/>
  <c r="R105" i="9" s="1"/>
  <c r="D61" i="9"/>
  <c r="D106" i="9" s="1"/>
  <c r="E61" i="9"/>
  <c r="E106" i="9" s="1"/>
  <c r="F61" i="9"/>
  <c r="F106" i="9" s="1"/>
  <c r="G61" i="9"/>
  <c r="G106" i="9" s="1"/>
  <c r="H61" i="9"/>
  <c r="H106" i="9" s="1"/>
  <c r="I61" i="9"/>
  <c r="I106" i="9" s="1"/>
  <c r="J61" i="9"/>
  <c r="J106" i="9" s="1"/>
  <c r="K61" i="9"/>
  <c r="K106" i="9" s="1"/>
  <c r="L61" i="9"/>
  <c r="L106" i="9" s="1"/>
  <c r="M61" i="9"/>
  <c r="M106" i="9" s="1"/>
  <c r="N61" i="9"/>
  <c r="N106" i="9" s="1"/>
  <c r="O61" i="9"/>
  <c r="O106" i="9" s="1"/>
  <c r="P61" i="9"/>
  <c r="P106" i="9" s="1"/>
  <c r="Q61" i="9"/>
  <c r="Q106" i="9" s="1"/>
  <c r="R61" i="9"/>
  <c r="R106" i="9" s="1"/>
  <c r="D62" i="9"/>
  <c r="D107" i="9" s="1"/>
  <c r="E62" i="9"/>
  <c r="E107" i="9" s="1"/>
  <c r="F62" i="9"/>
  <c r="F107" i="9" s="1"/>
  <c r="G62" i="9"/>
  <c r="G107" i="9" s="1"/>
  <c r="H62" i="9"/>
  <c r="H107" i="9" s="1"/>
  <c r="I62" i="9"/>
  <c r="I107" i="9" s="1"/>
  <c r="J62" i="9"/>
  <c r="J107" i="9" s="1"/>
  <c r="K62" i="9"/>
  <c r="K107" i="9" s="1"/>
  <c r="L62" i="9"/>
  <c r="L107" i="9" s="1"/>
  <c r="M62" i="9"/>
  <c r="M107" i="9" s="1"/>
  <c r="N62" i="9"/>
  <c r="N107" i="9" s="1"/>
  <c r="O62" i="9"/>
  <c r="O107" i="9" s="1"/>
  <c r="P62" i="9"/>
  <c r="P107" i="9" s="1"/>
  <c r="Q62" i="9"/>
  <c r="Q107" i="9" s="1"/>
  <c r="R62" i="9"/>
  <c r="R107" i="9" s="1"/>
  <c r="D63" i="9"/>
  <c r="D108" i="9" s="1"/>
  <c r="E63" i="9"/>
  <c r="E108" i="9" s="1"/>
  <c r="F63" i="9"/>
  <c r="F108" i="9" s="1"/>
  <c r="G63" i="9"/>
  <c r="G108" i="9" s="1"/>
  <c r="H63" i="9"/>
  <c r="H108" i="9" s="1"/>
  <c r="I63" i="9"/>
  <c r="I108" i="9" s="1"/>
  <c r="J63" i="9"/>
  <c r="J108" i="9" s="1"/>
  <c r="K63" i="9"/>
  <c r="K108" i="9" s="1"/>
  <c r="L63" i="9"/>
  <c r="L108" i="9" s="1"/>
  <c r="M63" i="9"/>
  <c r="M108" i="9" s="1"/>
  <c r="N63" i="9"/>
  <c r="N108" i="9" s="1"/>
  <c r="O63" i="9"/>
  <c r="O108" i="9" s="1"/>
  <c r="P63" i="9"/>
  <c r="P108" i="9" s="1"/>
  <c r="Q63" i="9"/>
  <c r="Q108" i="9" s="1"/>
  <c r="R63" i="9"/>
  <c r="R108" i="9" s="1"/>
  <c r="D64" i="9"/>
  <c r="D109" i="9" s="1"/>
  <c r="E64" i="9"/>
  <c r="E109" i="9" s="1"/>
  <c r="F64" i="9"/>
  <c r="F109" i="9" s="1"/>
  <c r="G64" i="9"/>
  <c r="G109" i="9" s="1"/>
  <c r="H64" i="9"/>
  <c r="H109" i="9" s="1"/>
  <c r="I64" i="9"/>
  <c r="I109" i="9" s="1"/>
  <c r="J64" i="9"/>
  <c r="J109" i="9" s="1"/>
  <c r="K64" i="9"/>
  <c r="K109" i="9" s="1"/>
  <c r="L64" i="9"/>
  <c r="L109" i="9" s="1"/>
  <c r="M64" i="9"/>
  <c r="M109" i="9" s="1"/>
  <c r="N64" i="9"/>
  <c r="N109" i="9" s="1"/>
  <c r="O64" i="9"/>
  <c r="O109" i="9" s="1"/>
  <c r="P64" i="9"/>
  <c r="P109" i="9" s="1"/>
  <c r="Q64" i="9"/>
  <c r="Q109" i="9" s="1"/>
  <c r="R64" i="9"/>
  <c r="R109" i="9" s="1"/>
  <c r="D65" i="9"/>
  <c r="D110" i="9" s="1"/>
  <c r="E65" i="9"/>
  <c r="E110" i="9" s="1"/>
  <c r="F65" i="9"/>
  <c r="F110" i="9" s="1"/>
  <c r="G65" i="9"/>
  <c r="G110" i="9" s="1"/>
  <c r="H65" i="9"/>
  <c r="H110" i="9" s="1"/>
  <c r="I65" i="9"/>
  <c r="I110" i="9" s="1"/>
  <c r="J65" i="9"/>
  <c r="J110" i="9" s="1"/>
  <c r="K65" i="9"/>
  <c r="K110" i="9" s="1"/>
  <c r="L65" i="9"/>
  <c r="L110" i="9" s="1"/>
  <c r="M65" i="9"/>
  <c r="M110" i="9" s="1"/>
  <c r="N65" i="9"/>
  <c r="N110" i="9" s="1"/>
  <c r="O65" i="9"/>
  <c r="O110" i="9" s="1"/>
  <c r="P65" i="9"/>
  <c r="P110" i="9" s="1"/>
  <c r="Q65" i="9"/>
  <c r="Q110" i="9" s="1"/>
  <c r="R65" i="9"/>
  <c r="R110" i="9" s="1"/>
  <c r="D66" i="9"/>
  <c r="D111" i="9" s="1"/>
  <c r="E66" i="9"/>
  <c r="E111" i="9" s="1"/>
  <c r="F66" i="9"/>
  <c r="F111" i="9" s="1"/>
  <c r="G66" i="9"/>
  <c r="G111" i="9" s="1"/>
  <c r="H66" i="9"/>
  <c r="H111" i="9" s="1"/>
  <c r="I66" i="9"/>
  <c r="I111" i="9" s="1"/>
  <c r="J66" i="9"/>
  <c r="J111" i="9" s="1"/>
  <c r="K66" i="9"/>
  <c r="K111" i="9" s="1"/>
  <c r="L66" i="9"/>
  <c r="L111" i="9" s="1"/>
  <c r="M66" i="9"/>
  <c r="M111" i="9" s="1"/>
  <c r="N66" i="9"/>
  <c r="N111" i="9" s="1"/>
  <c r="O66" i="9"/>
  <c r="O111" i="9" s="1"/>
  <c r="P66" i="9"/>
  <c r="P111" i="9" s="1"/>
  <c r="Q66" i="9"/>
  <c r="Q111" i="9" s="1"/>
  <c r="R66" i="9"/>
  <c r="R111" i="9" s="1"/>
  <c r="D67" i="9"/>
  <c r="D112" i="9" s="1"/>
  <c r="E67" i="9"/>
  <c r="E112" i="9" s="1"/>
  <c r="F67" i="9"/>
  <c r="F112" i="9" s="1"/>
  <c r="G67" i="9"/>
  <c r="G112" i="9" s="1"/>
  <c r="H67" i="9"/>
  <c r="H112" i="9" s="1"/>
  <c r="I67" i="9"/>
  <c r="I112" i="9" s="1"/>
  <c r="J67" i="9"/>
  <c r="J112" i="9" s="1"/>
  <c r="K67" i="9"/>
  <c r="K112" i="9" s="1"/>
  <c r="L67" i="9"/>
  <c r="L112" i="9" s="1"/>
  <c r="M67" i="9"/>
  <c r="M112" i="9" s="1"/>
  <c r="N67" i="9"/>
  <c r="N112" i="9" s="1"/>
  <c r="O67" i="9"/>
  <c r="O112" i="9" s="1"/>
  <c r="P67" i="9"/>
  <c r="P112" i="9" s="1"/>
  <c r="Q67" i="9"/>
  <c r="Q112" i="9" s="1"/>
  <c r="R67" i="9"/>
  <c r="R112" i="9" s="1"/>
  <c r="D68" i="9"/>
  <c r="D113" i="9" s="1"/>
  <c r="E68" i="9"/>
  <c r="E113" i="9" s="1"/>
  <c r="F68" i="9"/>
  <c r="F113" i="9" s="1"/>
  <c r="G68" i="9"/>
  <c r="G113" i="9" s="1"/>
  <c r="H68" i="9"/>
  <c r="H113" i="9" s="1"/>
  <c r="I68" i="9"/>
  <c r="I113" i="9" s="1"/>
  <c r="J68" i="9"/>
  <c r="J113" i="9" s="1"/>
  <c r="K68" i="9"/>
  <c r="K113" i="9" s="1"/>
  <c r="L68" i="9"/>
  <c r="L113" i="9" s="1"/>
  <c r="M68" i="9"/>
  <c r="M113" i="9" s="1"/>
  <c r="N68" i="9"/>
  <c r="N113" i="9" s="1"/>
  <c r="O68" i="9"/>
  <c r="O113" i="9" s="1"/>
  <c r="P68" i="9"/>
  <c r="P113" i="9" s="1"/>
  <c r="Q68" i="9"/>
  <c r="Q113" i="9" s="1"/>
  <c r="R68" i="9"/>
  <c r="R113" i="9" s="1"/>
  <c r="D69" i="9"/>
  <c r="D114" i="9" s="1"/>
  <c r="E69" i="9"/>
  <c r="E114" i="9" s="1"/>
  <c r="F69" i="9"/>
  <c r="F114" i="9" s="1"/>
  <c r="G69" i="9"/>
  <c r="G114" i="9" s="1"/>
  <c r="H69" i="9"/>
  <c r="H114" i="9" s="1"/>
  <c r="I69" i="9"/>
  <c r="I114" i="9" s="1"/>
  <c r="J69" i="9"/>
  <c r="J114" i="9" s="1"/>
  <c r="K69" i="9"/>
  <c r="K114" i="9" s="1"/>
  <c r="L69" i="9"/>
  <c r="L114" i="9" s="1"/>
  <c r="M69" i="9"/>
  <c r="M114" i="9" s="1"/>
  <c r="N69" i="9"/>
  <c r="N114" i="9" s="1"/>
  <c r="O69" i="9"/>
  <c r="O114" i="9" s="1"/>
  <c r="P69" i="9"/>
  <c r="P114" i="9" s="1"/>
  <c r="Q69" i="9"/>
  <c r="Q114" i="9" s="1"/>
  <c r="R69" i="9"/>
  <c r="R114" i="9" s="1"/>
  <c r="D70" i="9"/>
  <c r="D115" i="9" s="1"/>
  <c r="E70" i="9"/>
  <c r="E115" i="9" s="1"/>
  <c r="F70" i="9"/>
  <c r="F115" i="9" s="1"/>
  <c r="G70" i="9"/>
  <c r="G115" i="9" s="1"/>
  <c r="H70" i="9"/>
  <c r="H115" i="9" s="1"/>
  <c r="I70" i="9"/>
  <c r="I115" i="9" s="1"/>
  <c r="J70" i="9"/>
  <c r="J115" i="9" s="1"/>
  <c r="K70" i="9"/>
  <c r="K115" i="9" s="1"/>
  <c r="L70" i="9"/>
  <c r="L115" i="9" s="1"/>
  <c r="M70" i="9"/>
  <c r="M115" i="9" s="1"/>
  <c r="N70" i="9"/>
  <c r="N115" i="9" s="1"/>
  <c r="O70" i="9"/>
  <c r="O115" i="9" s="1"/>
  <c r="P70" i="9"/>
  <c r="P115" i="9" s="1"/>
  <c r="Q70" i="9"/>
  <c r="Q115" i="9" s="1"/>
  <c r="R70" i="9"/>
  <c r="R115" i="9" s="1"/>
  <c r="D71" i="9"/>
  <c r="D116" i="9" s="1"/>
  <c r="E71" i="9"/>
  <c r="E116" i="9" s="1"/>
  <c r="F71" i="9"/>
  <c r="F116" i="9" s="1"/>
  <c r="G71" i="9"/>
  <c r="G116" i="9" s="1"/>
  <c r="H71" i="9"/>
  <c r="H116" i="9" s="1"/>
  <c r="I71" i="9"/>
  <c r="I116" i="9" s="1"/>
  <c r="J71" i="9"/>
  <c r="J116" i="9" s="1"/>
  <c r="K71" i="9"/>
  <c r="K116" i="9" s="1"/>
  <c r="L71" i="9"/>
  <c r="L116" i="9" s="1"/>
  <c r="M71" i="9"/>
  <c r="M116" i="9" s="1"/>
  <c r="N71" i="9"/>
  <c r="N116" i="9" s="1"/>
  <c r="O71" i="9"/>
  <c r="O116" i="9" s="1"/>
  <c r="P71" i="9"/>
  <c r="P116" i="9" s="1"/>
  <c r="Q71" i="9"/>
  <c r="Q116" i="9" s="1"/>
  <c r="R71" i="9"/>
  <c r="R116" i="9" s="1"/>
  <c r="D72" i="9"/>
  <c r="D117" i="9" s="1"/>
  <c r="E72" i="9"/>
  <c r="E117" i="9" s="1"/>
  <c r="F72" i="9"/>
  <c r="F117" i="9" s="1"/>
  <c r="G72" i="9"/>
  <c r="G117" i="9" s="1"/>
  <c r="H72" i="9"/>
  <c r="H117" i="9" s="1"/>
  <c r="I72" i="9"/>
  <c r="I117" i="9" s="1"/>
  <c r="J72" i="9"/>
  <c r="J117" i="9" s="1"/>
  <c r="K72" i="9"/>
  <c r="K117" i="9" s="1"/>
  <c r="L72" i="9"/>
  <c r="L117" i="9" s="1"/>
  <c r="M72" i="9"/>
  <c r="M117" i="9" s="1"/>
  <c r="N72" i="9"/>
  <c r="N117" i="9" s="1"/>
  <c r="O72" i="9"/>
  <c r="O117" i="9" s="1"/>
  <c r="P72" i="9"/>
  <c r="P117" i="9" s="1"/>
  <c r="Q72" i="9"/>
  <c r="Q117" i="9" s="1"/>
  <c r="R72" i="9"/>
  <c r="R117" i="9" s="1"/>
  <c r="D73" i="9"/>
  <c r="D118" i="9" s="1"/>
  <c r="E73" i="9"/>
  <c r="E118" i="9" s="1"/>
  <c r="F73" i="9"/>
  <c r="F118" i="9" s="1"/>
  <c r="G73" i="9"/>
  <c r="G118" i="9" s="1"/>
  <c r="H73" i="9"/>
  <c r="H118" i="9" s="1"/>
  <c r="I73" i="9"/>
  <c r="I118" i="9" s="1"/>
  <c r="J73" i="9"/>
  <c r="J118" i="9" s="1"/>
  <c r="K73" i="9"/>
  <c r="K118" i="9" s="1"/>
  <c r="L73" i="9"/>
  <c r="L118" i="9" s="1"/>
  <c r="M73" i="9"/>
  <c r="M118" i="9" s="1"/>
  <c r="N73" i="9"/>
  <c r="N118" i="9" s="1"/>
  <c r="O73" i="9"/>
  <c r="O118" i="9" s="1"/>
  <c r="P73" i="9"/>
  <c r="P118" i="9" s="1"/>
  <c r="Q73" i="9"/>
  <c r="Q118" i="9" s="1"/>
  <c r="R73" i="9"/>
  <c r="R118" i="9" s="1"/>
  <c r="D74" i="9"/>
  <c r="D119" i="9" s="1"/>
  <c r="E74" i="9"/>
  <c r="E119" i="9" s="1"/>
  <c r="F74" i="9"/>
  <c r="F119" i="9" s="1"/>
  <c r="G74" i="9"/>
  <c r="G119" i="9" s="1"/>
  <c r="H74" i="9"/>
  <c r="H119" i="9" s="1"/>
  <c r="I74" i="9"/>
  <c r="I119" i="9" s="1"/>
  <c r="J74" i="9"/>
  <c r="J119" i="9" s="1"/>
  <c r="K74" i="9"/>
  <c r="K119" i="9" s="1"/>
  <c r="L74" i="9"/>
  <c r="L119" i="9" s="1"/>
  <c r="M74" i="9"/>
  <c r="M119" i="9" s="1"/>
  <c r="N74" i="9"/>
  <c r="N119" i="9" s="1"/>
  <c r="O74" i="9"/>
  <c r="O119" i="9" s="1"/>
  <c r="P74" i="9"/>
  <c r="P119" i="9" s="1"/>
  <c r="Q74" i="9"/>
  <c r="Q119" i="9" s="1"/>
  <c r="R74" i="9"/>
  <c r="R119" i="9" s="1"/>
  <c r="D75" i="9"/>
  <c r="D120" i="9" s="1"/>
  <c r="E75" i="9"/>
  <c r="E120" i="9" s="1"/>
  <c r="F75" i="9"/>
  <c r="F120" i="9" s="1"/>
  <c r="G75" i="9"/>
  <c r="G120" i="9" s="1"/>
  <c r="H75" i="9"/>
  <c r="H120" i="9" s="1"/>
  <c r="I75" i="9"/>
  <c r="I120" i="9" s="1"/>
  <c r="J75" i="9"/>
  <c r="J120" i="9" s="1"/>
  <c r="K75" i="9"/>
  <c r="K120" i="9" s="1"/>
  <c r="L75" i="9"/>
  <c r="L120" i="9" s="1"/>
  <c r="M75" i="9"/>
  <c r="M120" i="9" s="1"/>
  <c r="N75" i="9"/>
  <c r="N120" i="9" s="1"/>
  <c r="O75" i="9"/>
  <c r="O120" i="9" s="1"/>
  <c r="P75" i="9"/>
  <c r="P120" i="9" s="1"/>
  <c r="Q75" i="9"/>
  <c r="Q120" i="9" s="1"/>
  <c r="R75" i="9"/>
  <c r="R120" i="9" s="1"/>
  <c r="D76" i="9"/>
  <c r="D121" i="9" s="1"/>
  <c r="E76" i="9"/>
  <c r="E121" i="9" s="1"/>
  <c r="F76" i="9"/>
  <c r="F121" i="9" s="1"/>
  <c r="G76" i="9"/>
  <c r="G121" i="9" s="1"/>
  <c r="H76" i="9"/>
  <c r="H121" i="9" s="1"/>
  <c r="I76" i="9"/>
  <c r="I121" i="9" s="1"/>
  <c r="J76" i="9"/>
  <c r="J121" i="9" s="1"/>
  <c r="K76" i="9"/>
  <c r="K121" i="9" s="1"/>
  <c r="L76" i="9"/>
  <c r="L121" i="9" s="1"/>
  <c r="M76" i="9"/>
  <c r="M121" i="9" s="1"/>
  <c r="N76" i="9"/>
  <c r="N121" i="9" s="1"/>
  <c r="O76" i="9"/>
  <c r="O121" i="9" s="1"/>
  <c r="P76" i="9"/>
  <c r="P121" i="9" s="1"/>
  <c r="Q76" i="9"/>
  <c r="Q121" i="9" s="1"/>
  <c r="R76" i="9"/>
  <c r="R121" i="9" s="1"/>
  <c r="D77" i="9"/>
  <c r="D122" i="9" s="1"/>
  <c r="E77" i="9"/>
  <c r="E122" i="9" s="1"/>
  <c r="F77" i="9"/>
  <c r="F122" i="9" s="1"/>
  <c r="G77" i="9"/>
  <c r="G122" i="9" s="1"/>
  <c r="H77" i="9"/>
  <c r="H122" i="9" s="1"/>
  <c r="I77" i="9"/>
  <c r="I122" i="9" s="1"/>
  <c r="J77" i="9"/>
  <c r="J122" i="9" s="1"/>
  <c r="K77" i="9"/>
  <c r="K122" i="9" s="1"/>
  <c r="L77" i="9"/>
  <c r="L122" i="9" s="1"/>
  <c r="M77" i="9"/>
  <c r="M122" i="9" s="1"/>
  <c r="N77" i="9"/>
  <c r="N122" i="9" s="1"/>
  <c r="O77" i="9"/>
  <c r="O122" i="9" s="1"/>
  <c r="P77" i="9"/>
  <c r="P122" i="9" s="1"/>
  <c r="Q77" i="9"/>
  <c r="Q122" i="9" s="1"/>
  <c r="R77" i="9"/>
  <c r="R122" i="9" s="1"/>
  <c r="D78" i="9"/>
  <c r="D123" i="9" s="1"/>
  <c r="E78" i="9"/>
  <c r="E123" i="9" s="1"/>
  <c r="F78" i="9"/>
  <c r="F123" i="9" s="1"/>
  <c r="G78" i="9"/>
  <c r="G123" i="9" s="1"/>
  <c r="H78" i="9"/>
  <c r="H123" i="9" s="1"/>
  <c r="I78" i="9"/>
  <c r="I123" i="9" s="1"/>
  <c r="J78" i="9"/>
  <c r="J123" i="9" s="1"/>
  <c r="K78" i="9"/>
  <c r="K123" i="9" s="1"/>
  <c r="L78" i="9"/>
  <c r="L123" i="9" s="1"/>
  <c r="M78" i="9"/>
  <c r="M123" i="9" s="1"/>
  <c r="N78" i="9"/>
  <c r="N123" i="9" s="1"/>
  <c r="O78" i="9"/>
  <c r="O123" i="9" s="1"/>
  <c r="P78" i="9"/>
  <c r="P123" i="9" s="1"/>
  <c r="Q78" i="9"/>
  <c r="Q123" i="9" s="1"/>
  <c r="R78" i="9"/>
  <c r="R123" i="9" s="1"/>
  <c r="D79" i="9"/>
  <c r="D124" i="9" s="1"/>
  <c r="E79" i="9"/>
  <c r="E124" i="9" s="1"/>
  <c r="F79" i="9"/>
  <c r="F124" i="9" s="1"/>
  <c r="G79" i="9"/>
  <c r="G124" i="9" s="1"/>
  <c r="H79" i="9"/>
  <c r="H124" i="9" s="1"/>
  <c r="I79" i="9"/>
  <c r="I124" i="9" s="1"/>
  <c r="J79" i="9"/>
  <c r="J124" i="9" s="1"/>
  <c r="K79" i="9"/>
  <c r="K124" i="9" s="1"/>
  <c r="L79" i="9"/>
  <c r="L124" i="9" s="1"/>
  <c r="M79" i="9"/>
  <c r="M124" i="9" s="1"/>
  <c r="N79" i="9"/>
  <c r="N124" i="9" s="1"/>
  <c r="O79" i="9"/>
  <c r="O124" i="9" s="1"/>
  <c r="P79" i="9"/>
  <c r="P124" i="9" s="1"/>
  <c r="Q79" i="9"/>
  <c r="Q124" i="9" s="1"/>
  <c r="R79" i="9"/>
  <c r="R124" i="9" s="1"/>
  <c r="D80" i="9"/>
  <c r="D125" i="9" s="1"/>
  <c r="E80" i="9"/>
  <c r="E125" i="9" s="1"/>
  <c r="F80" i="9"/>
  <c r="F125" i="9" s="1"/>
  <c r="G80" i="9"/>
  <c r="G125" i="9" s="1"/>
  <c r="H80" i="9"/>
  <c r="H125" i="9" s="1"/>
  <c r="I80" i="9"/>
  <c r="I125" i="9" s="1"/>
  <c r="J80" i="9"/>
  <c r="J125" i="9" s="1"/>
  <c r="K80" i="9"/>
  <c r="K125" i="9" s="1"/>
  <c r="L80" i="9"/>
  <c r="L125" i="9" s="1"/>
  <c r="M80" i="9"/>
  <c r="M125" i="9" s="1"/>
  <c r="N80" i="9"/>
  <c r="N125" i="9" s="1"/>
  <c r="O80" i="9"/>
  <c r="O125" i="9" s="1"/>
  <c r="P80" i="9"/>
  <c r="P125" i="9" s="1"/>
  <c r="Q80" i="9"/>
  <c r="Q125" i="9" s="1"/>
  <c r="R80" i="9"/>
  <c r="R125" i="9" s="1"/>
  <c r="D81" i="9"/>
  <c r="D126" i="9" s="1"/>
  <c r="E81" i="9"/>
  <c r="E126" i="9" s="1"/>
  <c r="F81" i="9"/>
  <c r="F126" i="9" s="1"/>
  <c r="G81" i="9"/>
  <c r="G126" i="9" s="1"/>
  <c r="H81" i="9"/>
  <c r="H126" i="9" s="1"/>
  <c r="I81" i="9"/>
  <c r="I126" i="9" s="1"/>
  <c r="J81" i="9"/>
  <c r="J126" i="9" s="1"/>
  <c r="K81" i="9"/>
  <c r="K126" i="9" s="1"/>
  <c r="L81" i="9"/>
  <c r="L126" i="9" s="1"/>
  <c r="M81" i="9"/>
  <c r="M126" i="9" s="1"/>
  <c r="N81" i="9"/>
  <c r="N126" i="9" s="1"/>
  <c r="O81" i="9"/>
  <c r="O126" i="9" s="1"/>
  <c r="P81" i="9"/>
  <c r="P126" i="9" s="1"/>
  <c r="Q81" i="9"/>
  <c r="Q126" i="9" s="1"/>
  <c r="R81" i="9"/>
  <c r="R126" i="9" s="1"/>
  <c r="D82" i="9"/>
  <c r="D127" i="9" s="1"/>
  <c r="E82" i="9"/>
  <c r="E127" i="9" s="1"/>
  <c r="F82" i="9"/>
  <c r="F127" i="9" s="1"/>
  <c r="G82" i="9"/>
  <c r="G127" i="9" s="1"/>
  <c r="H82" i="9"/>
  <c r="H127" i="9" s="1"/>
  <c r="I82" i="9"/>
  <c r="I127" i="9" s="1"/>
  <c r="J82" i="9"/>
  <c r="J127" i="9" s="1"/>
  <c r="K82" i="9"/>
  <c r="K127" i="9" s="1"/>
  <c r="L82" i="9"/>
  <c r="L127" i="9" s="1"/>
  <c r="M82" i="9"/>
  <c r="M127" i="9" s="1"/>
  <c r="N82" i="9"/>
  <c r="N127" i="9" s="1"/>
  <c r="O82" i="9"/>
  <c r="O127" i="9" s="1"/>
  <c r="P82" i="9"/>
  <c r="P127" i="9" s="1"/>
  <c r="Q82" i="9"/>
  <c r="Q127" i="9" s="1"/>
  <c r="R82" i="9"/>
  <c r="R127" i="9" s="1"/>
  <c r="D83" i="9"/>
  <c r="D128" i="9" s="1"/>
  <c r="E83" i="9"/>
  <c r="E128" i="9" s="1"/>
  <c r="F83" i="9"/>
  <c r="F128" i="9" s="1"/>
  <c r="G83" i="9"/>
  <c r="G128" i="9" s="1"/>
  <c r="H83" i="9"/>
  <c r="H128" i="9" s="1"/>
  <c r="I83" i="9"/>
  <c r="I128" i="9" s="1"/>
  <c r="J83" i="9"/>
  <c r="J128" i="9" s="1"/>
  <c r="K83" i="9"/>
  <c r="K128" i="9" s="1"/>
  <c r="L83" i="9"/>
  <c r="L128" i="9" s="1"/>
  <c r="M83" i="9"/>
  <c r="M128" i="9" s="1"/>
  <c r="N83" i="9"/>
  <c r="N128" i="9" s="1"/>
  <c r="O83" i="9"/>
  <c r="O128" i="9" s="1"/>
  <c r="P83" i="9"/>
  <c r="P128" i="9" s="1"/>
  <c r="Q83" i="9"/>
  <c r="Q128" i="9" s="1"/>
  <c r="R83" i="9"/>
  <c r="R128" i="9" s="1"/>
  <c r="D84" i="9"/>
  <c r="D129" i="9" s="1"/>
  <c r="E84" i="9"/>
  <c r="E129" i="9" s="1"/>
  <c r="F84" i="9"/>
  <c r="F129" i="9" s="1"/>
  <c r="G84" i="9"/>
  <c r="G129" i="9" s="1"/>
  <c r="H84" i="9"/>
  <c r="H129" i="9" s="1"/>
  <c r="I84" i="9"/>
  <c r="I129" i="9" s="1"/>
  <c r="J84" i="9"/>
  <c r="J129" i="9" s="1"/>
  <c r="K84" i="9"/>
  <c r="K129" i="9" s="1"/>
  <c r="L84" i="9"/>
  <c r="L129" i="9" s="1"/>
  <c r="M84" i="9"/>
  <c r="M129" i="9" s="1"/>
  <c r="N84" i="9"/>
  <c r="N129" i="9" s="1"/>
  <c r="O84" i="9"/>
  <c r="O129" i="9" s="1"/>
  <c r="P84" i="9"/>
  <c r="P129" i="9" s="1"/>
  <c r="Q84" i="9"/>
  <c r="Q129" i="9" s="1"/>
  <c r="R84" i="9"/>
  <c r="R129" i="9" s="1"/>
  <c r="D85" i="9"/>
  <c r="D130" i="9" s="1"/>
  <c r="E85" i="9"/>
  <c r="E130" i="9" s="1"/>
  <c r="F85" i="9"/>
  <c r="F130" i="9" s="1"/>
  <c r="G85" i="9"/>
  <c r="G130" i="9" s="1"/>
  <c r="H85" i="9"/>
  <c r="H130" i="9" s="1"/>
  <c r="I85" i="9"/>
  <c r="I130" i="9" s="1"/>
  <c r="J85" i="9"/>
  <c r="J130" i="9" s="1"/>
  <c r="K85" i="9"/>
  <c r="K130" i="9" s="1"/>
  <c r="L85" i="9"/>
  <c r="L130" i="9" s="1"/>
  <c r="M85" i="9"/>
  <c r="M130" i="9" s="1"/>
  <c r="N85" i="9"/>
  <c r="N130" i="9" s="1"/>
  <c r="O85" i="9"/>
  <c r="O130" i="9" s="1"/>
  <c r="P85" i="9"/>
  <c r="P130" i="9" s="1"/>
  <c r="Q85" i="9"/>
  <c r="Q130" i="9" s="1"/>
  <c r="R85" i="9"/>
  <c r="R130" i="9" s="1"/>
  <c r="D86" i="9"/>
  <c r="D131" i="9" s="1"/>
  <c r="E86" i="9"/>
  <c r="E131" i="9" s="1"/>
  <c r="F86" i="9"/>
  <c r="F131" i="9" s="1"/>
  <c r="G86" i="9"/>
  <c r="G131" i="9" s="1"/>
  <c r="H86" i="9"/>
  <c r="H131" i="9" s="1"/>
  <c r="I86" i="9"/>
  <c r="I131" i="9" s="1"/>
  <c r="J86" i="9"/>
  <c r="J131" i="9" s="1"/>
  <c r="K86" i="9"/>
  <c r="K131" i="9" s="1"/>
  <c r="L86" i="9"/>
  <c r="L131" i="9" s="1"/>
  <c r="M86" i="9"/>
  <c r="M131" i="9" s="1"/>
  <c r="N86" i="9"/>
  <c r="N131" i="9" s="1"/>
  <c r="O86" i="9"/>
  <c r="O131" i="9" s="1"/>
  <c r="P86" i="9"/>
  <c r="P131" i="9" s="1"/>
  <c r="Q86" i="9"/>
  <c r="Q131" i="9" s="1"/>
  <c r="R86" i="9"/>
  <c r="R131" i="9" s="1"/>
  <c r="D87" i="9"/>
  <c r="D132" i="9" s="1"/>
  <c r="E87" i="9"/>
  <c r="E132" i="9" s="1"/>
  <c r="F87" i="9"/>
  <c r="F132" i="9" s="1"/>
  <c r="G87" i="9"/>
  <c r="G132" i="9" s="1"/>
  <c r="H87" i="9"/>
  <c r="H132" i="9" s="1"/>
  <c r="I87" i="9"/>
  <c r="I132" i="9" s="1"/>
  <c r="J87" i="9"/>
  <c r="J132" i="9" s="1"/>
  <c r="K87" i="9"/>
  <c r="K132" i="9" s="1"/>
  <c r="L87" i="9"/>
  <c r="L132" i="9" s="1"/>
  <c r="M87" i="9"/>
  <c r="M132" i="9" s="1"/>
  <c r="N87" i="9"/>
  <c r="N132" i="9" s="1"/>
  <c r="O87" i="9"/>
  <c r="O132" i="9" s="1"/>
  <c r="P87" i="9"/>
  <c r="P132" i="9" s="1"/>
  <c r="Q87" i="9"/>
  <c r="Q132" i="9" s="1"/>
  <c r="R87" i="9"/>
  <c r="R132" i="9" s="1"/>
  <c r="D88" i="9"/>
  <c r="D133" i="9" s="1"/>
  <c r="E88" i="9"/>
  <c r="E133" i="9" s="1"/>
  <c r="F88" i="9"/>
  <c r="F133" i="9" s="1"/>
  <c r="G88" i="9"/>
  <c r="G133" i="9" s="1"/>
  <c r="H88" i="9"/>
  <c r="H133" i="9" s="1"/>
  <c r="I88" i="9"/>
  <c r="I133" i="9" s="1"/>
  <c r="J88" i="9"/>
  <c r="J133" i="9" s="1"/>
  <c r="K88" i="9"/>
  <c r="K133" i="9" s="1"/>
  <c r="L88" i="9"/>
  <c r="L133" i="9" s="1"/>
  <c r="M88" i="9"/>
  <c r="M133" i="9" s="1"/>
  <c r="N88" i="9"/>
  <c r="N133" i="9" s="1"/>
  <c r="O88" i="9"/>
  <c r="O133" i="9" s="1"/>
  <c r="P88" i="9"/>
  <c r="P133" i="9" s="1"/>
  <c r="Q88" i="9"/>
  <c r="Q133" i="9" s="1"/>
  <c r="R88" i="9"/>
  <c r="R133" i="9" s="1"/>
  <c r="D89" i="9"/>
  <c r="D134" i="9" s="1"/>
  <c r="E89" i="9"/>
  <c r="E134" i="9" s="1"/>
  <c r="F89" i="9"/>
  <c r="F134" i="9" s="1"/>
  <c r="G89" i="9"/>
  <c r="G134" i="9" s="1"/>
  <c r="H89" i="9"/>
  <c r="H134" i="9" s="1"/>
  <c r="I89" i="9"/>
  <c r="I134" i="9" s="1"/>
  <c r="J89" i="9"/>
  <c r="J134" i="9" s="1"/>
  <c r="K89" i="9"/>
  <c r="K134" i="9" s="1"/>
  <c r="L89" i="9"/>
  <c r="L134" i="9" s="1"/>
  <c r="M89" i="9"/>
  <c r="M134" i="9" s="1"/>
  <c r="N89" i="9"/>
  <c r="N134" i="9" s="1"/>
  <c r="O89" i="9"/>
  <c r="O134" i="9" s="1"/>
  <c r="P89" i="9"/>
  <c r="P134" i="9" s="1"/>
  <c r="Q89" i="9"/>
  <c r="Q134" i="9" s="1"/>
  <c r="R89" i="9"/>
  <c r="R134" i="9" s="1"/>
  <c r="D90" i="9"/>
  <c r="D135" i="9" s="1"/>
  <c r="E90" i="9"/>
  <c r="E135" i="9" s="1"/>
  <c r="F90" i="9"/>
  <c r="F135" i="9" s="1"/>
  <c r="G90" i="9"/>
  <c r="G135" i="9" s="1"/>
  <c r="H90" i="9"/>
  <c r="H135" i="9" s="1"/>
  <c r="I90" i="9"/>
  <c r="I135" i="9" s="1"/>
  <c r="J90" i="9"/>
  <c r="J135" i="9" s="1"/>
  <c r="K90" i="9"/>
  <c r="K135" i="9" s="1"/>
  <c r="L90" i="9"/>
  <c r="L135" i="9" s="1"/>
  <c r="M90" i="9"/>
  <c r="M135" i="9" s="1"/>
  <c r="N90" i="9"/>
  <c r="N135" i="9" s="1"/>
  <c r="O90" i="9"/>
  <c r="O135" i="9" s="1"/>
  <c r="P90" i="9"/>
  <c r="P135" i="9" s="1"/>
  <c r="Q90" i="9"/>
  <c r="Q135" i="9" s="1"/>
  <c r="R90" i="9"/>
  <c r="R135" i="9" s="1"/>
  <c r="E50" i="9"/>
  <c r="E95" i="9" s="1"/>
  <c r="F50" i="9"/>
  <c r="F95" i="9" s="1"/>
  <c r="G50" i="9"/>
  <c r="G95" i="9" s="1"/>
  <c r="H50" i="9"/>
  <c r="H95" i="9" s="1"/>
  <c r="I50" i="9"/>
  <c r="I95" i="9" s="1"/>
  <c r="J50" i="9"/>
  <c r="J95" i="9" s="1"/>
  <c r="K50" i="9"/>
  <c r="K95" i="9" s="1"/>
  <c r="L50" i="9"/>
  <c r="L95" i="9" s="1"/>
  <c r="M50" i="9"/>
  <c r="M95" i="9" s="1"/>
  <c r="N50" i="9"/>
  <c r="N95" i="9" s="1"/>
  <c r="O50" i="9"/>
  <c r="O95" i="9" s="1"/>
  <c r="P50" i="9"/>
  <c r="P95" i="9" s="1"/>
  <c r="Q50" i="9"/>
  <c r="Q95" i="9" s="1"/>
  <c r="R50" i="9"/>
  <c r="R95" i="9" s="1"/>
  <c r="D50" i="9"/>
  <c r="D95" i="9" s="1"/>
  <c r="S115" i="9" l="1"/>
  <c r="T115" i="9" s="1"/>
  <c r="S102" i="9"/>
  <c r="T102" i="9" s="1"/>
  <c r="S103" i="9"/>
  <c r="T103" i="9" s="1"/>
  <c r="S101" i="9"/>
  <c r="T101" i="9" s="1"/>
  <c r="S98" i="9"/>
  <c r="T98" i="9" s="1"/>
  <c r="S116" i="9"/>
  <c r="T116" i="9" s="1"/>
  <c r="S109" i="9"/>
  <c r="T109" i="9" s="1"/>
  <c r="S104" i="9"/>
  <c r="T104" i="9" s="1"/>
  <c r="S97" i="9"/>
  <c r="T97" i="9" s="1"/>
  <c r="S133" i="9"/>
  <c r="T133" i="9" s="1"/>
  <c r="S129" i="9"/>
  <c r="T129" i="9" s="1"/>
  <c r="S106" i="9"/>
  <c r="T106" i="9" s="1"/>
  <c r="S135" i="9"/>
  <c r="T135" i="9" s="1"/>
  <c r="S128" i="9"/>
  <c r="T128" i="9" s="1"/>
  <c r="S108" i="9"/>
  <c r="T108" i="9" s="1"/>
  <c r="S119" i="9"/>
  <c r="T119" i="9" s="1"/>
  <c r="S114" i="9"/>
  <c r="T114" i="9" s="1"/>
  <c r="S113" i="9"/>
  <c r="T113" i="9" s="1"/>
  <c r="S107" i="9"/>
  <c r="T107" i="9" s="1"/>
  <c r="S134" i="9"/>
  <c r="T134" i="9" s="1"/>
  <c r="S127" i="9"/>
  <c r="T127" i="9" s="1"/>
  <c r="S125" i="9"/>
  <c r="T125" i="9" s="1"/>
  <c r="S100" i="9"/>
  <c r="T100" i="9" s="1"/>
  <c r="S118" i="9"/>
  <c r="T118" i="9" s="1"/>
  <c r="S99" i="9"/>
  <c r="T99" i="9" s="1"/>
  <c r="S123" i="9"/>
  <c r="T123" i="9" s="1"/>
  <c r="S124" i="9"/>
  <c r="T124" i="9" s="1"/>
  <c r="S132" i="9"/>
  <c r="T132" i="9" s="1"/>
  <c r="S112" i="9"/>
  <c r="T112" i="9" s="1"/>
  <c r="S110" i="9"/>
  <c r="T110" i="9" s="1"/>
  <c r="S105" i="9"/>
  <c r="T105" i="9" s="1"/>
  <c r="S117" i="9"/>
  <c r="T117" i="9" s="1"/>
  <c r="S111" i="9"/>
  <c r="T111" i="9" s="1"/>
  <c r="S131" i="9"/>
  <c r="T131" i="9" s="1"/>
  <c r="S122" i="9"/>
  <c r="T122" i="9" s="1"/>
  <c r="S120" i="9"/>
  <c r="T120" i="9" s="1"/>
  <c r="S130" i="9"/>
  <c r="T130" i="9" s="1"/>
  <c r="S121" i="9"/>
  <c r="T121" i="9" s="1"/>
  <c r="S96" i="9"/>
  <c r="T96" i="9" s="1"/>
  <c r="S95" i="9"/>
  <c r="T95" i="9" s="1"/>
  <c r="S126" i="9"/>
  <c r="T126" i="9" s="1"/>
  <c r="G39" i="8"/>
  <c r="D17" i="8"/>
  <c r="D16" i="8"/>
  <c r="D13" i="8"/>
  <c r="G13" i="8"/>
  <c r="F13" i="8"/>
  <c r="F49" i="8"/>
  <c r="E49" i="8"/>
  <c r="D49" i="8"/>
  <c r="C49" i="8"/>
  <c r="G27" i="8"/>
  <c r="F27" i="8"/>
  <c r="G26" i="8"/>
  <c r="C17" i="8"/>
  <c r="C16" i="8"/>
  <c r="C14" i="8"/>
  <c r="C13" i="8"/>
  <c r="G11" i="8"/>
  <c r="F11" i="8"/>
  <c r="S13" i="5"/>
  <c r="S12" i="5"/>
  <c r="S11" i="5"/>
  <c r="S10" i="5"/>
  <c r="S9" i="5"/>
  <c r="S8" i="5"/>
  <c r="Q13" i="5"/>
  <c r="Q12" i="5"/>
  <c r="Q11" i="5"/>
  <c r="Q10" i="5"/>
  <c r="Q9" i="5"/>
  <c r="Q8" i="5"/>
  <c r="N13" i="5"/>
  <c r="M13" i="5"/>
  <c r="N12" i="5"/>
  <c r="M12" i="5"/>
  <c r="N11" i="5"/>
  <c r="M11" i="5"/>
  <c r="N10" i="5"/>
  <c r="M10" i="5"/>
  <c r="M9" i="5"/>
  <c r="N8" i="5"/>
  <c r="M8" i="5"/>
  <c r="F13" i="5"/>
  <c r="O13" i="5" s="1"/>
  <c r="F12" i="5"/>
  <c r="O12" i="5" s="1"/>
  <c r="F11" i="5"/>
  <c r="O11" i="5" s="1"/>
  <c r="F10" i="5"/>
  <c r="O10" i="5" s="1"/>
  <c r="F9" i="5"/>
  <c r="O9" i="5" s="1"/>
  <c r="F8" i="5"/>
  <c r="O8" i="5" s="1"/>
  <c r="K13" i="5"/>
  <c r="J12" i="5"/>
  <c r="G12" i="5" s="1"/>
  <c r="K11" i="5"/>
  <c r="J10" i="5"/>
  <c r="J9" i="5"/>
  <c r="J8" i="5"/>
  <c r="G8" i="5" s="1"/>
  <c r="E11" i="6"/>
  <c r="F12" i="8"/>
  <c r="F14" i="8"/>
  <c r="L9" i="5" l="1"/>
  <c r="H38" i="6"/>
  <c r="R12" i="5"/>
  <c r="R9" i="5"/>
  <c r="L10" i="5"/>
  <c r="K10" i="5"/>
  <c r="J11" i="5"/>
  <c r="G11" i="5" s="1"/>
  <c r="H11" i="5" s="1"/>
  <c r="R10" i="5"/>
  <c r="G32" i="8"/>
  <c r="G28" i="8"/>
  <c r="R8" i="5"/>
  <c r="R11" i="5"/>
  <c r="H8" i="5"/>
  <c r="L8" i="5"/>
  <c r="L11" i="5"/>
  <c r="K9" i="5"/>
  <c r="L13" i="5"/>
  <c r="R13" i="5"/>
  <c r="J13" i="5"/>
  <c r="G13" i="5" s="1"/>
  <c r="H13" i="5" s="1"/>
  <c r="L12" i="5"/>
  <c r="H12" i="5"/>
  <c r="G9" i="5"/>
  <c r="H9" i="5" s="1"/>
  <c r="G10" i="5"/>
  <c r="H10" i="5" s="1"/>
  <c r="K12" i="5"/>
  <c r="K8" i="5"/>
  <c r="V24" i="5"/>
  <c r="X45" i="5" l="1"/>
  <c r="V45" i="5"/>
  <c r="X44" i="5"/>
  <c r="V44" i="5"/>
  <c r="D11" i="6" l="1"/>
  <c r="D12" i="6"/>
  <c r="H43" i="5" l="1"/>
  <c r="H42" i="5"/>
  <c r="H41" i="5"/>
  <c r="H40" i="5"/>
  <c r="H39" i="5"/>
  <c r="G38" i="8" s="1"/>
  <c r="H38" i="5"/>
  <c r="H37" i="5"/>
  <c r="H36" i="5"/>
  <c r="H35" i="5"/>
  <c r="H34" i="5"/>
  <c r="K43" i="5"/>
  <c r="K42" i="5"/>
  <c r="K41" i="5"/>
  <c r="K40" i="5"/>
  <c r="K39" i="5"/>
  <c r="K38" i="5"/>
  <c r="K37" i="5"/>
  <c r="K36" i="5"/>
  <c r="K35" i="5"/>
  <c r="K34" i="5"/>
  <c r="G44" i="8" l="1"/>
  <c r="G40" i="8"/>
  <c r="G27" i="6"/>
  <c r="G26" i="6"/>
  <c r="C17" i="6"/>
  <c r="F38" i="6"/>
  <c r="C38" i="7"/>
  <c r="E38" i="6"/>
  <c r="D38" i="6"/>
  <c r="C16" i="6"/>
  <c r="F43" i="5"/>
  <c r="F42" i="5"/>
  <c r="F41" i="5"/>
  <c r="F40" i="5"/>
  <c r="F39" i="5"/>
  <c r="C18" i="8" s="1"/>
  <c r="F38" i="5"/>
  <c r="F37" i="5"/>
  <c r="F36" i="5"/>
  <c r="F35" i="5"/>
  <c r="G35" i="5" s="1"/>
  <c r="F34" i="5"/>
  <c r="C13" i="6"/>
  <c r="X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20" i="5"/>
  <c r="X21" i="5"/>
  <c r="X22" i="5"/>
  <c r="X23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3" i="5"/>
  <c r="E26" i="8" l="1"/>
  <c r="E29" i="8" s="1"/>
  <c r="E33" i="8" s="1"/>
  <c r="D26" i="8"/>
  <c r="C26" i="8"/>
  <c r="C19" i="8"/>
  <c r="D29" i="8"/>
  <c r="D33" i="8" s="1"/>
  <c r="G29" i="8"/>
  <c r="G33" i="8" s="1"/>
  <c r="G38" i="5"/>
  <c r="E18" i="8"/>
  <c r="G41" i="5"/>
  <c r="D18" i="8"/>
  <c r="G41" i="8" s="1"/>
  <c r="I40" i="7"/>
  <c r="I41" i="7"/>
  <c r="F38" i="7" s="1"/>
  <c r="I42" i="7"/>
  <c r="H38" i="7" s="1"/>
  <c r="C38" i="6"/>
  <c r="G28" i="6"/>
  <c r="G38" i="7"/>
  <c r="J41" i="5"/>
  <c r="J39" i="5"/>
  <c r="J38" i="5"/>
  <c r="G39" i="5"/>
  <c r="J35" i="5"/>
  <c r="G42" i="5"/>
  <c r="J42" i="5"/>
  <c r="J43" i="5"/>
  <c r="G43" i="5"/>
  <c r="G40" i="5"/>
  <c r="J40" i="5"/>
  <c r="G36" i="5"/>
  <c r="J36" i="5"/>
  <c r="J37" i="5"/>
  <c r="G37" i="5"/>
  <c r="G34" i="5"/>
  <c r="J34" i="5"/>
  <c r="C18" i="6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E32" i="8" l="1"/>
  <c r="E28" i="8"/>
  <c r="E54" i="8"/>
  <c r="D57" i="8"/>
  <c r="F57" i="8"/>
  <c r="C54" i="8"/>
  <c r="D54" i="8"/>
  <c r="G57" i="8"/>
  <c r="E19" i="8"/>
  <c r="D32" i="8"/>
  <c r="D28" i="8"/>
  <c r="C38" i="8"/>
  <c r="E38" i="8"/>
  <c r="D19" i="8"/>
  <c r="D38" i="7"/>
  <c r="E38" i="7"/>
  <c r="C19" i="6"/>
  <c r="G29" i="6"/>
  <c r="E26" i="6"/>
  <c r="C26" i="6"/>
  <c r="V4" i="5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7" i="5"/>
  <c r="V28" i="5"/>
  <c r="V29" i="5"/>
  <c r="V30" i="5"/>
  <c r="V31" i="5"/>
  <c r="V32" i="5"/>
  <c r="V33" i="5"/>
  <c r="V34" i="5"/>
  <c r="V35" i="5"/>
  <c r="V36" i="5"/>
  <c r="V37" i="5"/>
  <c r="V38" i="5"/>
  <c r="E15" i="8" s="1"/>
  <c r="C55" i="8" s="1"/>
  <c r="V39" i="5"/>
  <c r="V40" i="5"/>
  <c r="V41" i="5"/>
  <c r="V42" i="5"/>
  <c r="V43" i="5"/>
  <c r="V3" i="5"/>
  <c r="D15" i="8" l="1"/>
  <c r="C39" i="8" s="1"/>
  <c r="C40" i="8" s="1"/>
  <c r="D56" i="8"/>
  <c r="D60" i="8"/>
  <c r="C56" i="8"/>
  <c r="C60" i="8"/>
  <c r="E57" i="8"/>
  <c r="E56" i="8"/>
  <c r="E60" i="8"/>
  <c r="C15" i="8"/>
  <c r="C27" i="8" s="1"/>
  <c r="C32" i="8" s="1"/>
  <c r="E41" i="8"/>
  <c r="E44" i="8"/>
  <c r="E40" i="8"/>
  <c r="E29" i="6"/>
  <c r="E28" i="6"/>
  <c r="K38" i="7"/>
  <c r="L38" i="7" s="1"/>
  <c r="C15" i="6"/>
  <c r="C27" i="6" s="1"/>
  <c r="D43" i="5"/>
  <c r="D41" i="5"/>
  <c r="D40" i="5"/>
  <c r="D39" i="5"/>
  <c r="D37" i="5"/>
  <c r="N18" i="5"/>
  <c r="M18" i="5"/>
  <c r="N17" i="5"/>
  <c r="M17" i="5"/>
  <c r="N6" i="5"/>
  <c r="M6" i="5"/>
  <c r="N38" i="5"/>
  <c r="M38" i="5"/>
  <c r="L38" i="5" s="1"/>
  <c r="N35" i="5"/>
  <c r="M35" i="5"/>
  <c r="L35" i="5" s="1"/>
  <c r="N41" i="5"/>
  <c r="M39" i="5"/>
  <c r="F38" i="8" s="1"/>
  <c r="M41" i="5"/>
  <c r="L41" i="5" s="1"/>
  <c r="N39" i="5"/>
  <c r="C41" i="8" l="1"/>
  <c r="C44" i="8"/>
  <c r="C57" i="8"/>
  <c r="C59" i="8"/>
  <c r="C29" i="8"/>
  <c r="C33" i="8" s="1"/>
  <c r="C28" i="8"/>
  <c r="C14" i="6"/>
  <c r="D29" i="6" s="1"/>
  <c r="D14" i="8"/>
  <c r="F27" i="6"/>
  <c r="F39" i="8"/>
  <c r="F41" i="8" s="1"/>
  <c r="G38" i="6"/>
  <c r="G49" i="8"/>
  <c r="F26" i="6"/>
  <c r="L39" i="5"/>
  <c r="L44" i="5" s="1"/>
  <c r="C28" i="6"/>
  <c r="D41" i="8" l="1"/>
  <c r="D38" i="8"/>
  <c r="F40" i="8"/>
  <c r="F44" i="8"/>
  <c r="F29" i="6"/>
  <c r="F28" i="6"/>
  <c r="C29" i="6"/>
  <c r="M44" i="5"/>
  <c r="L45" i="5"/>
  <c r="M45" i="5" s="1"/>
  <c r="F26" i="8" s="1"/>
  <c r="D26" i="6"/>
  <c r="D28" i="6" s="1"/>
  <c r="F29" i="8" l="1"/>
  <c r="F32" i="8"/>
  <c r="F28" i="8"/>
  <c r="D44" i="8"/>
  <c r="D40" i="8"/>
  <c r="C43" i="8"/>
  <c r="C31" i="6"/>
  <c r="D39" i="6" s="1"/>
  <c r="F33" i="8" l="1"/>
  <c r="C31" i="8"/>
  <c r="F39" i="6"/>
  <c r="E39" i="6"/>
  <c r="C39" i="6"/>
  <c r="C66" i="8" l="1"/>
  <c r="D66" i="8"/>
  <c r="F66" i="8"/>
  <c r="E66" i="8"/>
  <c r="C50" i="8"/>
  <c r="D50" i="8"/>
  <c r="F50" i="8"/>
  <c r="E50" i="8"/>
</calcChain>
</file>

<file path=xl/sharedStrings.xml><?xml version="1.0" encoding="utf-8"?>
<sst xmlns="http://schemas.openxmlformats.org/spreadsheetml/2006/main" count="767" uniqueCount="230">
  <si>
    <t>Current level of use</t>
  </si>
  <si>
    <t>Indicator (resource)</t>
  </si>
  <si>
    <t>Limit value of scalable resource</t>
  </si>
  <si>
    <t>Poland</t>
  </si>
  <si>
    <t>Austria</t>
  </si>
  <si>
    <t>Croatia</t>
  </si>
  <si>
    <t>Czechia</t>
  </si>
  <si>
    <t>Slovenia</t>
  </si>
  <si>
    <t>Hungary</t>
  </si>
  <si>
    <t>Italy</t>
  </si>
  <si>
    <t>SPA1</t>
  </si>
  <si>
    <t>SPA2</t>
  </si>
  <si>
    <t>SPA3</t>
  </si>
  <si>
    <t>SPA4</t>
  </si>
  <si>
    <t>SPA5</t>
  </si>
  <si>
    <t>SPA6</t>
  </si>
  <si>
    <t>SPA7</t>
  </si>
  <si>
    <t>SPA8</t>
  </si>
  <si>
    <t>SPA9</t>
  </si>
  <si>
    <t>SPA10</t>
  </si>
  <si>
    <t>SPA11</t>
  </si>
  <si>
    <t>SPA12</t>
  </si>
  <si>
    <t>turystyczna domin</t>
  </si>
  <si>
    <t>tur. Zrównoważ.</t>
  </si>
  <si>
    <t>tur. Uzup</t>
  </si>
  <si>
    <t>Current use of capacity</t>
  </si>
  <si>
    <t>Area of SPA parks [ha]</t>
  </si>
  <si>
    <t>Municipality area [km2]</t>
  </si>
  <si>
    <t>persons/ha</t>
  </si>
  <si>
    <t>€/year</t>
  </si>
  <si>
    <t>Sveti Marti na Muri</t>
  </si>
  <si>
    <t>Ladek-Zdroj</t>
  </si>
  <si>
    <t>Tuhelj</t>
  </si>
  <si>
    <t>Varaždinske toplice</t>
  </si>
  <si>
    <t>Donja Stubica</t>
  </si>
  <si>
    <t>Krapinske toplice</t>
  </si>
  <si>
    <t>Stubičke Toplice</t>
  </si>
  <si>
    <t>Šmarješke Toplice</t>
  </si>
  <si>
    <t>Dolenjske Toplice</t>
  </si>
  <si>
    <t>Bludov</t>
  </si>
  <si>
    <t>Velké Losiny</t>
  </si>
  <si>
    <t>Duszniki Zdrój</t>
  </si>
  <si>
    <t>Polanica Zdrój</t>
  </si>
  <si>
    <t xml:space="preserve">Kudowa Zdrój </t>
  </si>
  <si>
    <t>Bad Zell</t>
  </si>
  <si>
    <t xml:space="preserve">Acqui Terme </t>
  </si>
  <si>
    <t>Szczawno-Zdrój</t>
  </si>
  <si>
    <t>Jedlina-Zdrój</t>
  </si>
  <si>
    <t>Bystrzyca Kłodzka</t>
  </si>
  <si>
    <t>Niemcza</t>
  </si>
  <si>
    <t>Jelenia Góra</t>
  </si>
  <si>
    <t>Świeradów-Zdrój</t>
  </si>
  <si>
    <t>Lipová-lázně</t>
  </si>
  <si>
    <t xml:space="preserve">Jeseník </t>
  </si>
  <si>
    <t>Karlova Studánka</t>
  </si>
  <si>
    <t>Hajdúszoboszló</t>
  </si>
  <si>
    <t>Debrecen</t>
  </si>
  <si>
    <t xml:space="preserve">Hajdúnánás </t>
  </si>
  <si>
    <t>BACINO TERMALE EUGANEO</t>
  </si>
  <si>
    <t>ABANO TERME</t>
  </si>
  <si>
    <t>MONTEGROTTO TERME</t>
  </si>
  <si>
    <t>GALZIAGNANO TERME</t>
  </si>
  <si>
    <t>BATTAGLIA TERME</t>
  </si>
  <si>
    <t>TEOLO</t>
  </si>
  <si>
    <t>Bad Schallerbach</t>
  </si>
  <si>
    <t>Bad Hall</t>
  </si>
  <si>
    <t>Bad Ischl</t>
  </si>
  <si>
    <t>Geinberg</t>
  </si>
  <si>
    <t>Bogács</t>
  </si>
  <si>
    <t>Mezőkövesd</t>
  </si>
  <si>
    <t>Current No. of inhabitants [persons]</t>
  </si>
  <si>
    <t>Drinking water: current level of use [m3/d]</t>
  </si>
  <si>
    <t>Mineral water: current level of use [m3/d]</t>
  </si>
  <si>
    <t>Mineral water: limit value (available resources) [m3/d]</t>
  </si>
  <si>
    <t>Financial income: current level [€/yr]</t>
  </si>
  <si>
    <t>Financial income: unitary rate [€/persons/yr]</t>
  </si>
  <si>
    <t>Country</t>
  </si>
  <si>
    <t>SPA</t>
  </si>
  <si>
    <t>Informations:</t>
  </si>
  <si>
    <t>Colums marked orange (pairs of unitary and current level) should be filled alternatively (unitary OR current level for marked indicators).</t>
  </si>
  <si>
    <t>No of beds</t>
  </si>
  <si>
    <t>NoData</t>
  </si>
  <si>
    <t>Wastes: current level of use [Mg/y]</t>
  </si>
  <si>
    <t>Units remarks:</t>
  </si>
  <si>
    <t>yr - year; d - day (24h); Mg - tons</t>
  </si>
  <si>
    <t>Mg/yr</t>
  </si>
  <si>
    <t>ranking points</t>
  </si>
  <si>
    <t xml:space="preserve">Lithology </t>
  </si>
  <si>
    <t>infiltration index overburden</t>
  </si>
  <si>
    <r>
      <t>I</t>
    </r>
    <r>
      <rPr>
        <b/>
        <vertAlign val="subscript"/>
        <sz val="11"/>
        <color rgb="FF000000"/>
        <rFont val="Calibri"/>
        <family val="2"/>
        <charset val="238"/>
        <scheme val="minor"/>
      </rPr>
      <t>ov</t>
    </r>
  </si>
  <si>
    <t>vertical conductivity overburden [m/s]</t>
  </si>
  <si>
    <r>
      <t>k</t>
    </r>
    <r>
      <rPr>
        <b/>
        <vertAlign val="subscript"/>
        <sz val="11"/>
        <color rgb="FF000000"/>
        <rFont val="Calibri"/>
        <family val="2"/>
        <charset val="238"/>
        <scheme val="minor"/>
      </rPr>
      <t>ov</t>
    </r>
  </si>
  <si>
    <t>horizontal conductivity aquifer [m/s]</t>
  </si>
  <si>
    <r>
      <t>k</t>
    </r>
    <r>
      <rPr>
        <b/>
        <vertAlign val="subscript"/>
        <sz val="11"/>
        <color rgb="FF000000"/>
        <rFont val="Calibri"/>
        <family val="2"/>
        <charset val="238"/>
        <scheme val="minor"/>
      </rPr>
      <t>aq</t>
    </r>
  </si>
  <si>
    <t>clay</t>
  </si>
  <si>
    <t>loam</t>
  </si>
  <si>
    <t>silt</t>
  </si>
  <si>
    <t>sand</t>
  </si>
  <si>
    <t>gravel</t>
  </si>
  <si>
    <t>crystaline</t>
  </si>
  <si>
    <t>metamorphic</t>
  </si>
  <si>
    <t>volcanic</t>
  </si>
  <si>
    <t>limestones (non karstified)</t>
  </si>
  <si>
    <t>limestones (karstified)</t>
  </si>
  <si>
    <t>dolomites (non karstified)</t>
  </si>
  <si>
    <t>dolomites (karstified)</t>
  </si>
  <si>
    <t>sandstones</t>
  </si>
  <si>
    <t>conglomerates</t>
  </si>
  <si>
    <t>mudstones</t>
  </si>
  <si>
    <t>slates</t>
  </si>
  <si>
    <t>schists</t>
  </si>
  <si>
    <t>sandy loams</t>
  </si>
  <si>
    <t>silty loams</t>
  </si>
  <si>
    <t>mud</t>
  </si>
  <si>
    <t>marls</t>
  </si>
  <si>
    <t>clayey marls</t>
  </si>
  <si>
    <r>
      <t>D</t>
    </r>
    <r>
      <rPr>
        <b/>
        <vertAlign val="subscript"/>
        <sz val="11"/>
        <color theme="1"/>
        <rFont val="Calibri"/>
        <family val="2"/>
        <charset val="238"/>
        <scheme val="minor"/>
      </rPr>
      <t>aq</t>
    </r>
  </si>
  <si>
    <t>Confined/  Unconfined</t>
  </si>
  <si>
    <r>
      <t>Aq</t>
    </r>
    <r>
      <rPr>
        <b/>
        <vertAlign val="subscript"/>
        <sz val="11"/>
        <color theme="1"/>
        <rFont val="Calibri"/>
        <family val="2"/>
        <charset val="238"/>
        <scheme val="minor"/>
      </rPr>
      <t>type</t>
    </r>
  </si>
  <si>
    <r>
      <t>L</t>
    </r>
    <r>
      <rPr>
        <b/>
        <vertAlign val="subscript"/>
        <sz val="11"/>
        <color theme="1"/>
        <rFont val="Calibri"/>
        <family val="2"/>
        <charset val="238"/>
        <scheme val="minor"/>
      </rPr>
      <t>use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</si>
  <si>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Qual</t>
    </r>
    <r>
      <rPr>
        <b/>
        <vertAlign val="subscript"/>
        <sz val="11"/>
        <color theme="1"/>
        <rFont val="Calibri"/>
        <family val="2"/>
        <charset val="238"/>
        <scheme val="minor"/>
      </rPr>
      <t>threa</t>
    </r>
  </si>
  <si>
    <t>Lądek</t>
  </si>
  <si>
    <t>Polanica</t>
  </si>
  <si>
    <t>&lt;10</t>
  </si>
  <si>
    <t>very low risk</t>
  </si>
  <si>
    <t>10-100</t>
  </si>
  <si>
    <t>low risk</t>
  </si>
  <si>
    <t>100-1000</t>
  </si>
  <si>
    <t>moderate risk</t>
  </si>
  <si>
    <t>1000-10000</t>
  </si>
  <si>
    <t>high risk</t>
  </si>
  <si>
    <t>&gt;10000</t>
  </si>
  <si>
    <t>very high risk</t>
  </si>
  <si>
    <t>Legal protected areas [%]</t>
  </si>
  <si>
    <t>Overburden lithology</t>
  </si>
  <si>
    <t>Aquifer lithology</t>
  </si>
  <si>
    <t>Groundwater table type</t>
  </si>
  <si>
    <t>[descriptive]</t>
  </si>
  <si>
    <t>confined</t>
  </si>
  <si>
    <t>unconfined</t>
  </si>
  <si>
    <t>Legal protected areas [ha]</t>
  </si>
  <si>
    <t>Maximum additional tourists number</t>
  </si>
  <si>
    <t>Ilustrative indicators</t>
  </si>
  <si>
    <t>Main indicators</t>
  </si>
  <si>
    <t>Drinking water</t>
  </si>
  <si>
    <t>Wastes</t>
  </si>
  <si>
    <t>Energy</t>
  </si>
  <si>
    <t>Current Tourists person-day No. [persons/d]</t>
  </si>
  <si>
    <t>MWh/yr</t>
  </si>
  <si>
    <t>units:</t>
  </si>
  <si>
    <t>Financial income</t>
  </si>
  <si>
    <t>Confined</t>
  </si>
  <si>
    <t>Unconfined</t>
  </si>
  <si>
    <t>Depth to water table [m]</t>
  </si>
  <si>
    <t>Limit of additional tourists</t>
  </si>
  <si>
    <t>Current estimated daily visitors number [persons/d]</t>
  </si>
  <si>
    <t>Current maximum tourists number [persons/d]</t>
  </si>
  <si>
    <t>Current tourists accommodation capacity [persons/d]</t>
  </si>
  <si>
    <t>Country:</t>
  </si>
  <si>
    <t>Energy: current level of use [MWh/d]</t>
  </si>
  <si>
    <t>Energy: unitary consumption [MWh/person/d]</t>
  </si>
  <si>
    <t>Wastes: unitary production [Mg/person/yr]</t>
  </si>
  <si>
    <t>Drinking water: unitary consumption [m3/person/d]</t>
  </si>
  <si>
    <t>Sárospatak</t>
  </si>
  <si>
    <t>SPA:</t>
  </si>
  <si>
    <t>Environmental capacity of SPA parks</t>
  </si>
  <si>
    <t>Mineral water quantity</t>
  </si>
  <si>
    <t>Environmental touristic capacity of the municipality area</t>
  </si>
  <si>
    <r>
      <t>persons/km</t>
    </r>
    <r>
      <rPr>
        <b/>
        <vertAlign val="superscript"/>
        <sz val="11"/>
        <color rgb="FF4C4C4E"/>
        <rFont val="Trebuchet MS"/>
        <family val="2"/>
        <charset val="238"/>
      </rPr>
      <t>2</t>
    </r>
  </si>
  <si>
    <r>
      <t>m</t>
    </r>
    <r>
      <rPr>
        <b/>
        <vertAlign val="superscript"/>
        <sz val="11"/>
        <color rgb="FF4C4C4E"/>
        <rFont val="Trebuchet MS"/>
        <family val="2"/>
        <charset val="238"/>
      </rPr>
      <t>3</t>
    </r>
    <r>
      <rPr>
        <b/>
        <sz val="11"/>
        <color rgb="FF4C4C4E"/>
        <rFont val="Trebuchet MS"/>
        <family val="2"/>
        <charset val="238"/>
      </rPr>
      <t>/d</t>
    </r>
  </si>
  <si>
    <t>Sewage quantity</t>
  </si>
  <si>
    <t>Groundwater
 vulnerability</t>
  </si>
  <si>
    <t>WP1</t>
  </si>
  <si>
    <t>&gt;100%</t>
  </si>
  <si>
    <t>Capacity of the legal protected areas within municipality borders</t>
  </si>
  <si>
    <t>Defert’s index</t>
  </si>
  <si>
    <t>SPA 1</t>
  </si>
  <si>
    <t>SPA 2</t>
  </si>
  <si>
    <r>
      <t>m</t>
    </r>
    <r>
      <rPr>
        <vertAlign val="superscript"/>
        <sz val="11"/>
        <color theme="0"/>
        <rFont val="Trebuchet MS"/>
        <family val="2"/>
        <charset val="238"/>
      </rPr>
      <t>3</t>
    </r>
    <r>
      <rPr>
        <sz val="11"/>
        <color theme="0"/>
        <rFont val="Trebuchet MS"/>
        <family val="2"/>
        <charset val="238"/>
      </rPr>
      <t>/d</t>
    </r>
  </si>
  <si>
    <r>
      <t xml:space="preserve">Predicted level of use for min. Additional tourists number 
</t>
    </r>
    <r>
      <rPr>
        <b/>
        <i/>
        <sz val="12"/>
        <color theme="0"/>
        <rFont val="Trebuchet MS"/>
        <family val="2"/>
        <charset val="238"/>
      </rPr>
      <t>(estimated from main idicators)</t>
    </r>
  </si>
  <si>
    <t>Built up areas without sewage system</t>
  </si>
  <si>
    <t>Built up areas with individual wastewater treatment systems</t>
  </si>
  <si>
    <t xml:space="preserve">Agriculture </t>
  </si>
  <si>
    <t xml:space="preserve">Orchards and horticulture </t>
  </si>
  <si>
    <t xml:space="preserve">Animal breeding farms </t>
  </si>
  <si>
    <t xml:space="preserve">Industrial sites </t>
  </si>
  <si>
    <t xml:space="preserve">Mining sites </t>
  </si>
  <si>
    <t xml:space="preserve">Industrial and municipal waste sites </t>
  </si>
  <si>
    <t xml:space="preserve">Drainage fields </t>
  </si>
  <si>
    <t xml:space="preserve">Road transport </t>
  </si>
  <si>
    <t xml:space="preserve">Railway transport </t>
  </si>
  <si>
    <t xml:space="preserve">Cemeteries </t>
  </si>
  <si>
    <t xml:space="preserve">Gas stations </t>
  </si>
  <si>
    <t xml:space="preserve">Water intakes </t>
  </si>
  <si>
    <t xml:space="preserve">Sport facilities and objects, Resorts, SPAs </t>
  </si>
  <si>
    <t>LandUse percentage</t>
  </si>
  <si>
    <t>Weights</t>
  </si>
  <si>
    <t>Result</t>
  </si>
  <si>
    <t>&lt;5</t>
  </si>
  <si>
    <t>5-10</t>
  </si>
  <si>
    <t>10-20</t>
  </si>
  <si>
    <t>20-50</t>
  </si>
  <si>
    <t>&gt;50</t>
  </si>
  <si>
    <t>Result scalled</t>
  </si>
  <si>
    <t>WPT1</t>
  </si>
  <si>
    <t>Land Cover Impact (LCI)</t>
  </si>
  <si>
    <t>Groundwater 
(GW)  vulnerability</t>
  </si>
  <si>
    <t>Measures</t>
  </si>
  <si>
    <t xml:space="preserve">Basic data </t>
  </si>
  <si>
    <r>
      <rPr>
        <b/>
        <sz val="15"/>
        <color theme="1"/>
        <rFont val="Trebuchet MS"/>
        <family val="2"/>
        <charset val="238"/>
      </rPr>
      <t xml:space="preserve">Predicted level of use for min. Additional tourists number </t>
    </r>
    <r>
      <rPr>
        <b/>
        <sz val="14"/>
        <color theme="1"/>
        <rFont val="Trebuchet MS"/>
        <family val="2"/>
        <charset val="238"/>
      </rPr>
      <t xml:space="preserve">
</t>
    </r>
    <r>
      <rPr>
        <b/>
        <i/>
        <sz val="12"/>
        <color theme="1"/>
        <rFont val="Trebuchet MS"/>
        <family val="2"/>
        <charset val="238"/>
      </rPr>
      <t>(estimated from main idicators)</t>
    </r>
  </si>
  <si>
    <t xml:space="preserve">HealingPlaces Tool for impact assessment of SPAs development </t>
  </si>
  <si>
    <t>DATA / INPUT FOR VULNERABILITY ASSESSMENT</t>
  </si>
  <si>
    <t xml:space="preserve">ALGORITHM for GROUNDWATER VULNERABILITY ASSESSMENT </t>
  </si>
  <si>
    <t>NOT TO BE CHANGED</t>
  </si>
  <si>
    <t>Example</t>
  </si>
  <si>
    <t>level of risk</t>
  </si>
  <si>
    <t>Categories of final risk for quality of mineral and thermal water:</t>
  </si>
  <si>
    <t xml:space="preserve">Land Use / Land Cover types </t>
  </si>
  <si>
    <t>Illustrative indicators</t>
  </si>
  <si>
    <t>HealingPlaces Tool for impact assessment of SPAs development</t>
  </si>
  <si>
    <t>Limit of additional tourists [persons/d]</t>
  </si>
  <si>
    <t>Categories of final risk for Land Cover Impact</t>
  </si>
  <si>
    <t>Mineral water: unitary consumption [m3/persons/d]</t>
  </si>
  <si>
    <t>Sewage: unitary production [m3/persons/d]</t>
  </si>
  <si>
    <t>Sewage: current level of use [m3/d]</t>
  </si>
  <si>
    <t>Sewage: limit value (capacity) [m3/d]</t>
  </si>
  <si>
    <r>
      <t>LandUse areas [m</t>
    </r>
    <r>
      <rPr>
        <b/>
        <vertAlign val="superscript"/>
        <sz val="14"/>
        <color theme="1"/>
        <rFont val="Calibri"/>
        <family val="2"/>
        <charset val="238"/>
        <scheme val="minor"/>
      </rPr>
      <t>2</t>
    </r>
    <r>
      <rPr>
        <b/>
        <sz val="14"/>
        <color theme="1"/>
        <rFont val="Calibri"/>
        <family val="2"/>
        <charset val="238"/>
        <scheme val="minor"/>
      </rPr>
      <t>]</t>
    </r>
  </si>
  <si>
    <t>SPA 3</t>
  </si>
  <si>
    <r>
      <t>Municipality area [km</t>
    </r>
    <r>
      <rPr>
        <vertAlign val="superscript"/>
        <sz val="12"/>
        <color theme="1"/>
        <rFont val="Trebuchet MS"/>
        <family val="2"/>
        <charset val="238"/>
      </rPr>
      <t>2</t>
    </r>
    <r>
      <rPr>
        <sz val="12"/>
        <color theme="1"/>
        <rFont val="Trebuchet MS"/>
        <family val="2"/>
        <charset val="238"/>
      </rPr>
      <t>]</t>
    </r>
  </si>
  <si>
    <t>€/yr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</si>
</sst>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.0"/>
    <numFmt numFmtId="166" formatCode="0.0%"/>
    <numFmt numFmtId="167" formatCode="0.0"/>
    <numFmt numFmtId="168" formatCode="0.000"/>
  </numFmts>
  <fonts count="6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</font>
    <font>
      <sz val="9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zcionka tekstu podstawowego"/>
      <family val="2"/>
      <charset val="238"/>
    </font>
    <font>
      <sz val="10"/>
      <name val="Arial CE"/>
      <charset val="238"/>
    </font>
    <font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vertAlign val="subscript"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rgb="FF4C4C4E"/>
      <name val="Calibri"/>
      <family val="2"/>
      <charset val="238"/>
      <scheme val="minor"/>
    </font>
    <font>
      <b/>
      <sz val="11"/>
      <color theme="0"/>
      <name val="Trebuchet MS"/>
      <family val="2"/>
      <charset val="238"/>
    </font>
    <font>
      <b/>
      <sz val="14"/>
      <color theme="0"/>
      <name val="Trebuchet MS"/>
      <family val="2"/>
      <charset val="238"/>
    </font>
    <font>
      <sz val="11"/>
      <color theme="0"/>
      <name val="Trebuchet MS"/>
      <family val="2"/>
      <charset val="238"/>
    </font>
    <font>
      <sz val="11"/>
      <name val="Trebuchet MS"/>
      <family val="2"/>
      <charset val="238"/>
    </font>
    <font>
      <sz val="11"/>
      <color theme="1"/>
      <name val="Trebuchet MS"/>
      <family val="2"/>
      <charset val="238"/>
    </font>
    <font>
      <b/>
      <sz val="16"/>
      <color theme="0"/>
      <name val="Trebuchet MS"/>
      <family val="2"/>
      <charset val="238"/>
    </font>
    <font>
      <sz val="12"/>
      <color theme="1"/>
      <name val="Trebuchet MS"/>
      <family val="2"/>
      <charset val="238"/>
    </font>
    <font>
      <b/>
      <sz val="14"/>
      <color theme="1"/>
      <name val="Trebuchet MS"/>
      <family val="2"/>
      <charset val="238"/>
    </font>
    <font>
      <b/>
      <sz val="16"/>
      <color rgb="FF4C4C4E"/>
      <name val="Trebuchet MS"/>
      <family val="2"/>
      <charset val="238"/>
    </font>
    <font>
      <b/>
      <sz val="12"/>
      <color theme="1"/>
      <name val="Trebuchet MS"/>
      <family val="2"/>
      <charset val="238"/>
    </font>
    <font>
      <sz val="14"/>
      <color theme="1"/>
      <name val="Trebuchet MS"/>
      <family val="2"/>
      <charset val="238"/>
    </font>
    <font>
      <b/>
      <i/>
      <sz val="12"/>
      <color theme="1"/>
      <name val="Trebuchet MS"/>
      <family val="2"/>
      <charset val="238"/>
    </font>
    <font>
      <b/>
      <sz val="12"/>
      <color rgb="FF4C4C4E"/>
      <name val="Trebuchet MS"/>
      <family val="2"/>
      <charset val="238"/>
    </font>
    <font>
      <b/>
      <vertAlign val="superscript"/>
      <sz val="11"/>
      <color rgb="FF4C4C4E"/>
      <name val="Trebuchet MS"/>
      <family val="2"/>
      <charset val="238"/>
    </font>
    <font>
      <b/>
      <sz val="11"/>
      <color rgb="FF4C4C4E"/>
      <name val="Trebuchet MS"/>
      <family val="2"/>
      <charset val="238"/>
    </font>
    <font>
      <b/>
      <sz val="20"/>
      <color theme="1"/>
      <name val="Trebuchet MS"/>
      <family val="2"/>
      <charset val="238"/>
    </font>
    <font>
      <b/>
      <sz val="20"/>
      <color theme="0"/>
      <name val="Trebuchet MS"/>
      <family val="2"/>
      <charset val="238"/>
    </font>
    <font>
      <b/>
      <sz val="28"/>
      <color rgb="FF98C222"/>
      <name val="Calibri"/>
      <family val="2"/>
      <charset val="238"/>
      <scheme val="minor"/>
    </font>
    <font>
      <b/>
      <sz val="20"/>
      <name val="Trebuchet MS"/>
      <family val="2"/>
      <charset val="238"/>
    </font>
    <font>
      <b/>
      <sz val="12"/>
      <color theme="0"/>
      <name val="Trebuchet MS"/>
      <family val="2"/>
      <charset val="238"/>
    </font>
    <font>
      <vertAlign val="superscript"/>
      <sz val="11"/>
      <color theme="0"/>
      <name val="Trebuchet MS"/>
      <family val="2"/>
      <charset val="238"/>
    </font>
    <font>
      <sz val="14"/>
      <color theme="0"/>
      <name val="Trebuchet MS"/>
      <family val="2"/>
      <charset val="238"/>
    </font>
    <font>
      <b/>
      <i/>
      <sz val="12"/>
      <color theme="0"/>
      <name val="Trebuchet MS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Trebuchet MS"/>
      <family val="2"/>
      <charset val="238"/>
    </font>
    <font>
      <b/>
      <sz val="15"/>
      <color theme="1"/>
      <name val="Trebuchet MS"/>
      <family val="2"/>
      <charset val="238"/>
    </font>
    <font>
      <b/>
      <sz val="16"/>
      <name val="Trebuchet MS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0"/>
      <color rgb="FF0070C0"/>
      <name val="Arial"/>
      <family val="2"/>
      <charset val="238"/>
    </font>
    <font>
      <sz val="11"/>
      <color rgb="FF0070C0"/>
      <name val="Calibri"/>
      <family val="2"/>
      <scheme val="minor"/>
    </font>
    <font>
      <sz val="15"/>
      <color theme="0"/>
      <name val="Calibri"/>
      <family val="2"/>
      <scheme val="minor"/>
    </font>
    <font>
      <b/>
      <sz val="15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1"/>
      <color theme="9" tint="-0.499984740745262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vertAlign val="superscript"/>
      <sz val="12"/>
      <color theme="1"/>
      <name val="Trebuchet MS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8C222"/>
        <bgColor indexed="64"/>
      </patternFill>
    </fill>
    <fill>
      <patternFill patternType="solid">
        <fgColor rgb="FFD5EC94"/>
        <bgColor indexed="64"/>
      </patternFill>
    </fill>
    <fill>
      <patternFill patternType="solid">
        <fgColor rgb="FFA5A7A8"/>
        <bgColor indexed="64"/>
      </patternFill>
    </fill>
    <fill>
      <patternFill patternType="solid">
        <fgColor rgb="FFD6D7D8"/>
        <bgColor indexed="64"/>
      </patternFill>
    </fill>
    <fill>
      <patternFill patternType="solid">
        <fgColor rgb="FF4C4C4E"/>
        <bgColor indexed="64"/>
      </patternFill>
    </fill>
    <fill>
      <patternFill patternType="solid">
        <fgColor rgb="FFFDC6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ck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double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/>
      <bottom style="double">
        <color theme="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/>
      <right/>
      <top/>
      <bottom style="thin">
        <color rgb="FF98C222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double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5" fillId="0" borderId="0"/>
    <xf numFmtId="0" fontId="6" fillId="0" borderId="0"/>
    <xf numFmtId="0" fontId="6" fillId="0" borderId="0"/>
    <xf numFmtId="164" fontId="7" fillId="0" borderId="0" applyFont="0" applyFill="0" applyBorder="0" applyAlignment="0" applyProtection="0"/>
    <xf numFmtId="0" fontId="6" fillId="0" borderId="0">
      <protection locked="0"/>
    </xf>
    <xf numFmtId="9" fontId="4" fillId="0" borderId="0" applyFont="0" applyFill="0" applyBorder="0" applyAlignment="0" applyProtection="0"/>
    <xf numFmtId="0" fontId="8" fillId="2" borderId="0" applyNumberFormat="0" applyBorder="0" applyAlignment="0" applyProtection="0"/>
    <xf numFmtId="0" fontId="2" fillId="0" borderId="0"/>
    <xf numFmtId="0" fontId="9" fillId="0" borderId="0"/>
    <xf numFmtId="0" fontId="10" fillId="0" borderId="0"/>
    <xf numFmtId="0" fontId="7" fillId="0" borderId="0"/>
  </cellStyleXfs>
  <cellXfs count="218">
    <xf numFmtId="0" fontId="0" fillId="0" borderId="0" xfId="0"/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5" xfId="0" applyBorder="1" applyAlignment="1">
      <alignment wrapText="1"/>
    </xf>
    <xf numFmtId="0" fontId="0" fillId="0" borderId="5" xfId="0" applyBorder="1"/>
    <xf numFmtId="0" fontId="0" fillId="3" borderId="4" xfId="0" applyFill="1" applyBorder="1"/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6" xfId="0" applyFill="1" applyBorder="1"/>
    <xf numFmtId="0" fontId="0" fillId="3" borderId="7" xfId="0" applyFill="1" applyBorder="1"/>
    <xf numFmtId="0" fontId="0" fillId="0" borderId="1" xfId="0" applyFill="1" applyBorder="1"/>
    <xf numFmtId="0" fontId="0" fillId="0" borderId="3" xfId="0" applyFill="1" applyBorder="1"/>
    <xf numFmtId="0" fontId="7" fillId="0" borderId="0" xfId="15"/>
    <xf numFmtId="0" fontId="7" fillId="0" borderId="0" xfId="15" applyAlignment="1">
      <alignment wrapText="1"/>
    </xf>
    <xf numFmtId="0" fontId="7" fillId="0" borderId="0" xfId="15" applyAlignment="1">
      <alignment horizontal="center" wrapText="1"/>
    </xf>
    <xf numFmtId="0" fontId="7" fillId="0" borderId="0" xfId="15" applyAlignment="1">
      <alignment horizontal="center" vertical="center"/>
    </xf>
    <xf numFmtId="0" fontId="14" fillId="0" borderId="0" xfId="15" applyFont="1" applyAlignment="1">
      <alignment horizontal="center"/>
    </xf>
    <xf numFmtId="0" fontId="7" fillId="0" borderId="0" xfId="15" applyAlignment="1">
      <alignment horizontal="center"/>
    </xf>
    <xf numFmtId="0" fontId="7" fillId="0" borderId="1" xfId="15" applyBorder="1" applyAlignment="1">
      <alignment horizontal="center"/>
    </xf>
    <xf numFmtId="0" fontId="12" fillId="0" borderId="1" xfId="15" applyFont="1" applyBorder="1" applyAlignment="1">
      <alignment horizontal="center" vertical="center" wrapText="1"/>
    </xf>
    <xf numFmtId="0" fontId="11" fillId="0" borderId="1" xfId="15" applyFont="1" applyBorder="1" applyAlignment="1">
      <alignment horizontal="center" vertical="center"/>
    </xf>
    <xf numFmtId="0" fontId="7" fillId="0" borderId="1" xfId="15" applyBorder="1" applyAlignment="1">
      <alignment horizontal="center" wrapText="1"/>
    </xf>
    <xf numFmtId="0" fontId="7" fillId="0" borderId="1" xfId="15" applyBorder="1"/>
    <xf numFmtId="0" fontId="7" fillId="4" borderId="1" xfId="15" applyFill="1" applyBorder="1"/>
    <xf numFmtId="0" fontId="7" fillId="4" borderId="1" xfId="15" applyFill="1" applyBorder="1" applyAlignment="1">
      <alignment horizontal="right"/>
    </xf>
    <xf numFmtId="0" fontId="7" fillId="5" borderId="1" xfId="15" applyFill="1" applyBorder="1"/>
    <xf numFmtId="0" fontId="0" fillId="0" borderId="8" xfId="0" applyBorder="1"/>
    <xf numFmtId="0" fontId="11" fillId="0" borderId="1" xfId="15" applyFont="1" applyBorder="1"/>
    <xf numFmtId="0" fontId="0" fillId="6" borderId="6" xfId="0" applyFill="1" applyBorder="1"/>
    <xf numFmtId="0" fontId="0" fillId="6" borderId="7" xfId="0" applyFill="1" applyBorder="1"/>
    <xf numFmtId="0" fontId="17" fillId="3" borderId="4" xfId="0" applyFont="1" applyFill="1" applyBorder="1"/>
    <xf numFmtId="0" fontId="17" fillId="3" borderId="1" xfId="0" applyFont="1" applyFill="1" applyBorder="1"/>
    <xf numFmtId="0" fontId="17" fillId="0" borderId="3" xfId="0" applyFont="1" applyFill="1" applyBorder="1"/>
    <xf numFmtId="0" fontId="0" fillId="0" borderId="8" xfId="0" applyBorder="1" applyAlignment="1">
      <alignment wrapText="1"/>
    </xf>
    <xf numFmtId="0" fontId="0" fillId="0" borderId="9" xfId="0" applyBorder="1"/>
    <xf numFmtId="0" fontId="0" fillId="3" borderId="3" xfId="0" applyFill="1" applyBorder="1"/>
    <xf numFmtId="0" fontId="0" fillId="0" borderId="4" xfId="0" applyBorder="1"/>
    <xf numFmtId="3" fontId="0" fillId="3" borderId="7" xfId="0" applyNumberFormat="1" applyFill="1" applyBorder="1"/>
    <xf numFmtId="2" fontId="0" fillId="0" borderId="1" xfId="0" applyNumberFormat="1" applyBorder="1"/>
    <xf numFmtId="167" fontId="17" fillId="3" borderId="1" xfId="0" applyNumberFormat="1" applyFont="1" applyFill="1" applyBorder="1"/>
    <xf numFmtId="0" fontId="0" fillId="7" borderId="0" xfId="0" applyFill="1"/>
    <xf numFmtId="0" fontId="0" fillId="7" borderId="0" xfId="0" applyFill="1" applyBorder="1"/>
    <xf numFmtId="0" fontId="0" fillId="7" borderId="17" xfId="0" applyFill="1" applyBorder="1"/>
    <xf numFmtId="0" fontId="21" fillId="10" borderId="10" xfId="0" applyFont="1" applyFill="1" applyBorder="1" applyAlignment="1">
      <alignment horizontal="right"/>
    </xf>
    <xf numFmtId="0" fontId="22" fillId="8" borderId="11" xfId="0" applyFont="1" applyFill="1" applyBorder="1"/>
    <xf numFmtId="0" fontId="23" fillId="7" borderId="0" xfId="0" applyFont="1" applyFill="1"/>
    <xf numFmtId="0" fontId="24" fillId="7" borderId="0" xfId="0" applyFont="1" applyFill="1"/>
    <xf numFmtId="0" fontId="25" fillId="7" borderId="0" xfId="0" applyFont="1" applyFill="1"/>
    <xf numFmtId="0" fontId="26" fillId="8" borderId="12" xfId="0" applyFont="1" applyFill="1" applyBorder="1"/>
    <xf numFmtId="0" fontId="23" fillId="7" borderId="0" xfId="0" quotePrefix="1" applyFont="1" applyFill="1"/>
    <xf numFmtId="0" fontId="28" fillId="9" borderId="14" xfId="0" applyFont="1" applyFill="1" applyBorder="1"/>
    <xf numFmtId="0" fontId="24" fillId="7" borderId="0" xfId="0" applyFont="1" applyFill="1" applyBorder="1"/>
    <xf numFmtId="0" fontId="25" fillId="7" borderId="0" xfId="0" applyFont="1" applyFill="1" applyBorder="1"/>
    <xf numFmtId="3" fontId="28" fillId="9" borderId="14" xfId="0" applyNumberFormat="1" applyFont="1" applyFill="1" applyBorder="1"/>
    <xf numFmtId="3" fontId="25" fillId="7" borderId="0" xfId="0" applyNumberFormat="1" applyFont="1" applyFill="1" applyBorder="1"/>
    <xf numFmtId="0" fontId="25" fillId="7" borderId="25" xfId="0" applyFont="1" applyFill="1" applyBorder="1"/>
    <xf numFmtId="3" fontId="28" fillId="13" borderId="25" xfId="0" applyNumberFormat="1" applyFont="1" applyFill="1" applyBorder="1" applyAlignment="1">
      <alignment vertical="center"/>
    </xf>
    <xf numFmtId="0" fontId="27" fillId="11" borderId="14" xfId="0" applyFont="1" applyFill="1" applyBorder="1" applyAlignment="1">
      <alignment vertical="center"/>
    </xf>
    <xf numFmtId="0" fontId="30" fillId="9" borderId="15" xfId="0" applyFont="1" applyFill="1" applyBorder="1" applyAlignment="1">
      <alignment vertical="center"/>
    </xf>
    <xf numFmtId="0" fontId="30" fillId="9" borderId="16" xfId="0" applyFont="1" applyFill="1" applyBorder="1" applyAlignment="1">
      <alignment vertical="center"/>
    </xf>
    <xf numFmtId="0" fontId="30" fillId="8" borderId="25" xfId="0" applyFont="1" applyFill="1" applyBorder="1" applyAlignment="1">
      <alignment vertical="center"/>
    </xf>
    <xf numFmtId="0" fontId="30" fillId="13" borderId="25" xfId="0" applyFont="1" applyFill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8" fillId="13" borderId="25" xfId="0" applyFont="1" applyFill="1" applyBorder="1" applyAlignment="1">
      <alignment vertical="center"/>
    </xf>
    <xf numFmtId="0" fontId="30" fillId="9" borderId="25" xfId="0" applyFont="1" applyFill="1" applyBorder="1" applyAlignment="1">
      <alignment vertical="center"/>
    </xf>
    <xf numFmtId="165" fontId="31" fillId="9" borderId="14" xfId="0" applyNumberFormat="1" applyFont="1" applyFill="1" applyBorder="1" applyAlignment="1">
      <alignment vertical="center"/>
    </xf>
    <xf numFmtId="4" fontId="31" fillId="9" borderId="14" xfId="0" applyNumberFormat="1" applyFont="1" applyFill="1" applyBorder="1" applyAlignment="1">
      <alignment vertical="center"/>
    </xf>
    <xf numFmtId="3" fontId="31" fillId="9" borderId="21" xfId="0" applyNumberFormat="1" applyFont="1" applyFill="1" applyBorder="1" applyAlignment="1">
      <alignment vertical="center"/>
    </xf>
    <xf numFmtId="3" fontId="31" fillId="9" borderId="25" xfId="0" applyNumberFormat="1" applyFont="1" applyFill="1" applyBorder="1" applyAlignment="1">
      <alignment vertical="center"/>
    </xf>
    <xf numFmtId="165" fontId="31" fillId="9" borderId="19" xfId="0" applyNumberFormat="1" applyFont="1" applyFill="1" applyBorder="1" applyAlignment="1">
      <alignment vertical="center"/>
    </xf>
    <xf numFmtId="4" fontId="31" fillId="9" borderId="19" xfId="0" applyNumberFormat="1" applyFont="1" applyFill="1" applyBorder="1" applyAlignment="1">
      <alignment vertical="center"/>
    </xf>
    <xf numFmtId="3" fontId="31" fillId="9" borderId="20" xfId="0" applyNumberFormat="1" applyFont="1" applyFill="1" applyBorder="1" applyAlignment="1">
      <alignment vertical="center"/>
    </xf>
    <xf numFmtId="165" fontId="31" fillId="9" borderId="26" xfId="0" applyNumberFormat="1" applyFont="1" applyFill="1" applyBorder="1" applyAlignment="1">
      <alignment vertical="center"/>
    </xf>
    <xf numFmtId="166" fontId="28" fillId="8" borderId="25" xfId="1" applyNumberFormat="1" applyFont="1" applyFill="1" applyBorder="1" applyAlignment="1">
      <alignment vertical="center"/>
    </xf>
    <xf numFmtId="0" fontId="22" fillId="12" borderId="23" xfId="0" applyFont="1" applyFill="1" applyBorder="1" applyAlignment="1">
      <alignment vertical="center"/>
    </xf>
    <xf numFmtId="0" fontId="22" fillId="12" borderId="23" xfId="0" applyFont="1" applyFill="1" applyBorder="1" applyAlignment="1">
      <alignment vertical="center" wrapText="1"/>
    </xf>
    <xf numFmtId="0" fontId="21" fillId="12" borderId="13" xfId="0" applyFont="1" applyFill="1" applyBorder="1" applyAlignment="1">
      <alignment horizontal="right"/>
    </xf>
    <xf numFmtId="0" fontId="33" fillId="11" borderId="14" xfId="0" applyFont="1" applyFill="1" applyBorder="1" applyAlignment="1">
      <alignment vertical="center"/>
    </xf>
    <xf numFmtId="0" fontId="33" fillId="11" borderId="19" xfId="0" applyFont="1" applyFill="1" applyBorder="1" applyAlignment="1">
      <alignment vertical="center"/>
    </xf>
    <xf numFmtId="0" fontId="20" fillId="7" borderId="0" xfId="0" applyFont="1" applyFill="1"/>
    <xf numFmtId="0" fontId="19" fillId="0" borderId="0" xfId="0" applyFont="1" applyFill="1" applyBorder="1"/>
    <xf numFmtId="0" fontId="36" fillId="7" borderId="27" xfId="0" applyFont="1" applyFill="1" applyBorder="1" applyAlignment="1">
      <alignment wrapText="1"/>
    </xf>
    <xf numFmtId="0" fontId="38" fillId="0" borderId="0" xfId="0" applyFont="1" applyFill="1" applyBorder="1"/>
    <xf numFmtId="166" fontId="28" fillId="8" borderId="25" xfId="1" applyNumberFormat="1" applyFont="1" applyFill="1" applyBorder="1" applyAlignment="1">
      <alignment horizontal="right" vertical="center"/>
    </xf>
    <xf numFmtId="168" fontId="0" fillId="3" borderId="4" xfId="0" applyNumberFormat="1" applyFill="1" applyBorder="1"/>
    <xf numFmtId="2" fontId="0" fillId="3" borderId="7" xfId="0" applyNumberFormat="1" applyFill="1" applyBorder="1"/>
    <xf numFmtId="168" fontId="0" fillId="3" borderId="6" xfId="0" applyNumberFormat="1" applyFill="1" applyBorder="1"/>
    <xf numFmtId="0" fontId="17" fillId="0" borderId="3" xfId="0" applyFont="1" applyBorder="1"/>
    <xf numFmtId="168" fontId="0" fillId="3" borderId="3" xfId="0" applyNumberFormat="1" applyFill="1" applyBorder="1"/>
    <xf numFmtId="0" fontId="36" fillId="7" borderId="0" xfId="0" applyFont="1" applyFill="1" applyBorder="1" applyAlignment="1">
      <alignment wrapText="1"/>
    </xf>
    <xf numFmtId="0" fontId="21" fillId="12" borderId="13" xfId="0" applyFont="1" applyFill="1" applyBorder="1" applyAlignment="1">
      <alignment horizontal="center" vertical="center"/>
    </xf>
    <xf numFmtId="0" fontId="25" fillId="7" borderId="24" xfId="0" applyFont="1" applyFill="1" applyBorder="1"/>
    <xf numFmtId="0" fontId="26" fillId="7" borderId="0" xfId="0" applyFont="1" applyFill="1" applyBorder="1" applyAlignment="1"/>
    <xf numFmtId="0" fontId="26" fillId="7" borderId="0" xfId="0" applyFont="1" applyFill="1" applyBorder="1" applyAlignment="1">
      <alignment horizontal="left"/>
    </xf>
    <xf numFmtId="0" fontId="40" fillId="11" borderId="19" xfId="0" applyFont="1" applyFill="1" applyBorder="1" applyAlignment="1">
      <alignment vertical="center"/>
    </xf>
    <xf numFmtId="0" fontId="40" fillId="11" borderId="14" xfId="0" applyFont="1" applyFill="1" applyBorder="1" applyAlignment="1">
      <alignment vertical="center"/>
    </xf>
    <xf numFmtId="0" fontId="40" fillId="9" borderId="25" xfId="0" applyFont="1" applyFill="1" applyBorder="1" applyAlignment="1">
      <alignment vertical="center"/>
    </xf>
    <xf numFmtId="3" fontId="42" fillId="9" borderId="25" xfId="0" applyNumberFormat="1" applyFont="1" applyFill="1" applyBorder="1" applyAlignment="1">
      <alignment vertical="center"/>
    </xf>
    <xf numFmtId="0" fontId="42" fillId="0" borderId="18" xfId="0" applyFont="1" applyFill="1" applyBorder="1" applyAlignment="1">
      <alignment horizontal="center" vertical="center"/>
    </xf>
    <xf numFmtId="0" fontId="40" fillId="13" borderId="25" xfId="0" applyFont="1" applyFill="1" applyBorder="1" applyAlignment="1">
      <alignment vertical="center"/>
    </xf>
    <xf numFmtId="3" fontId="22" fillId="13" borderId="25" xfId="0" applyNumberFormat="1" applyFont="1" applyFill="1" applyBorder="1" applyAlignment="1">
      <alignment vertical="center"/>
    </xf>
    <xf numFmtId="0" fontId="42" fillId="0" borderId="18" xfId="0" applyFont="1" applyFill="1" applyBorder="1" applyAlignment="1">
      <alignment vertical="center"/>
    </xf>
    <xf numFmtId="0" fontId="23" fillId="7" borderId="0" xfId="0" applyFont="1" applyFill="1" applyBorder="1"/>
    <xf numFmtId="0" fontId="23" fillId="7" borderId="24" xfId="0" applyFont="1" applyFill="1" applyBorder="1"/>
    <xf numFmtId="0" fontId="23" fillId="7" borderId="25" xfId="0" applyFont="1" applyFill="1" applyBorder="1"/>
    <xf numFmtId="0" fontId="11" fillId="14" borderId="1" xfId="0" applyFont="1" applyFill="1" applyBorder="1"/>
    <xf numFmtId="0" fontId="0" fillId="15" borderId="0" xfId="0" applyFill="1"/>
    <xf numFmtId="0" fontId="7" fillId="0" borderId="1" xfId="15" applyBorder="1" applyAlignment="1">
      <alignment wrapText="1"/>
    </xf>
    <xf numFmtId="0" fontId="7" fillId="0" borderId="3" xfId="15" applyBorder="1" applyAlignment="1">
      <alignment horizontal="center" wrapText="1"/>
    </xf>
    <xf numFmtId="0" fontId="7" fillId="0" borderId="3" xfId="15" applyBorder="1"/>
    <xf numFmtId="0" fontId="12" fillId="0" borderId="29" xfId="15" applyFont="1" applyBorder="1" applyAlignment="1">
      <alignment horizontal="center" vertical="center" wrapText="1"/>
    </xf>
    <xf numFmtId="0" fontId="12" fillId="0" borderId="29" xfId="15" applyFont="1" applyBorder="1" applyAlignment="1">
      <alignment horizontal="right" vertical="center" wrapText="1"/>
    </xf>
    <xf numFmtId="0" fontId="7" fillId="0" borderId="5" xfId="15" applyBorder="1" applyAlignment="1">
      <alignment horizontal="center" wrapText="1"/>
    </xf>
    <xf numFmtId="11" fontId="7" fillId="0" borderId="5" xfId="15" applyNumberFormat="1" applyBorder="1"/>
    <xf numFmtId="0" fontId="44" fillId="0" borderId="3" xfId="0" applyFont="1" applyFill="1" applyBorder="1"/>
    <xf numFmtId="0" fontId="0" fillId="0" borderId="0" xfId="0" applyBorder="1"/>
    <xf numFmtId="0" fontId="26" fillId="8" borderId="0" xfId="0" applyFont="1" applyFill="1" applyBorder="1"/>
    <xf numFmtId="0" fontId="23" fillId="7" borderId="0" xfId="0" quotePrefix="1" applyFont="1" applyFill="1" applyBorder="1"/>
    <xf numFmtId="0" fontId="25" fillId="7" borderId="0" xfId="0" quotePrefix="1" applyFont="1" applyFill="1" applyBorder="1"/>
    <xf numFmtId="0" fontId="33" fillId="11" borderId="0" xfId="0" applyFont="1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2" fillId="12" borderId="23" xfId="0" applyFont="1" applyFill="1" applyBorder="1" applyAlignment="1">
      <alignment horizontal="center" vertical="center"/>
    </xf>
    <xf numFmtId="0" fontId="22" fillId="12" borderId="23" xfId="0" applyFont="1" applyFill="1" applyBorder="1" applyAlignment="1">
      <alignment horizontal="center" vertical="center" wrapText="1"/>
    </xf>
    <xf numFmtId="166" fontId="28" fillId="8" borderId="25" xfId="1" applyNumberFormat="1" applyFont="1" applyFill="1" applyBorder="1" applyAlignment="1">
      <alignment horizontal="left" vertical="center"/>
    </xf>
    <xf numFmtId="0" fontId="39" fillId="7" borderId="0" xfId="0" applyFont="1" applyFill="1" applyBorder="1" applyAlignment="1">
      <alignment horizontal="left"/>
    </xf>
    <xf numFmtId="0" fontId="39" fillId="7" borderId="0" xfId="0" applyFont="1" applyFill="1" applyBorder="1" applyAlignment="1"/>
    <xf numFmtId="0" fontId="36" fillId="7" borderId="0" xfId="0" applyFont="1" applyFill="1" applyAlignment="1">
      <alignment wrapText="1"/>
    </xf>
    <xf numFmtId="0" fontId="28" fillId="13" borderId="25" xfId="0" applyFont="1" applyFill="1" applyBorder="1" applyAlignment="1">
      <alignment vertic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17" fillId="3" borderId="4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50" fillId="0" borderId="3" xfId="0" applyFont="1" applyFill="1" applyBorder="1" applyAlignment="1">
      <alignment horizontal="center" wrapText="1"/>
    </xf>
    <xf numFmtId="0" fontId="51" fillId="0" borderId="1" xfId="0" applyFont="1" applyFill="1" applyBorder="1"/>
    <xf numFmtId="0" fontId="52" fillId="0" borderId="1" xfId="0" applyFont="1" applyFill="1" applyBorder="1"/>
    <xf numFmtId="0" fontId="53" fillId="0" borderId="1" xfId="15" applyFont="1" applyFill="1" applyBorder="1"/>
    <xf numFmtId="0" fontId="53" fillId="0" borderId="1" xfId="15" applyFont="1" applyBorder="1"/>
    <xf numFmtId="0" fontId="52" fillId="0" borderId="1" xfId="0" applyFont="1" applyBorder="1"/>
    <xf numFmtId="0" fontId="51" fillId="0" borderId="1" xfId="0" applyFont="1" applyBorder="1"/>
    <xf numFmtId="0" fontId="7" fillId="18" borderId="0" xfId="15" applyFill="1"/>
    <xf numFmtId="0" fontId="54" fillId="18" borderId="0" xfId="15" applyFont="1" applyFill="1"/>
    <xf numFmtId="0" fontId="55" fillId="18" borderId="0" xfId="15" applyFont="1" applyFill="1"/>
    <xf numFmtId="0" fontId="11" fillId="0" borderId="0" xfId="15" applyFont="1"/>
    <xf numFmtId="0" fontId="57" fillId="0" borderId="0" xfId="15" applyFont="1"/>
    <xf numFmtId="0" fontId="58" fillId="0" borderId="0" xfId="15" applyFont="1"/>
    <xf numFmtId="0" fontId="16" fillId="17" borderId="0" xfId="15" applyFont="1" applyFill="1"/>
    <xf numFmtId="0" fontId="59" fillId="0" borderId="0" xfId="15" applyFont="1"/>
    <xf numFmtId="0" fontId="60" fillId="0" borderId="0" xfId="15" applyFont="1"/>
    <xf numFmtId="0" fontId="61" fillId="17" borderId="0" xfId="15" applyFont="1" applyFill="1"/>
    <xf numFmtId="0" fontId="62" fillId="17" borderId="0" xfId="0" applyFont="1" applyFill="1" applyBorder="1" applyAlignment="1">
      <alignment horizontal="center" vertical="center"/>
    </xf>
    <xf numFmtId="11" fontId="19" fillId="16" borderId="0" xfId="15" applyNumberFormat="1" applyFont="1" applyFill="1"/>
    <xf numFmtId="0" fontId="19" fillId="16" borderId="0" xfId="15" applyFont="1" applyFill="1"/>
    <xf numFmtId="0" fontId="64" fillId="19" borderId="0" xfId="15" applyFont="1" applyFill="1"/>
    <xf numFmtId="0" fontId="65" fillId="19" borderId="0" xfId="15" applyFont="1" applyFill="1"/>
    <xf numFmtId="0" fontId="16" fillId="17" borderId="0" xfId="15" quotePrefix="1" applyFont="1" applyFill="1"/>
    <xf numFmtId="11" fontId="7" fillId="16" borderId="0" xfId="15" quotePrefix="1" applyNumberFormat="1" applyFill="1"/>
    <xf numFmtId="0" fontId="7" fillId="16" borderId="0" xfId="15" applyFill="1"/>
    <xf numFmtId="0" fontId="66" fillId="3" borderId="0" xfId="15" quotePrefix="1" applyFont="1" applyFill="1"/>
    <xf numFmtId="0" fontId="66" fillId="3" borderId="0" xfId="15" applyFont="1" applyFill="1"/>
    <xf numFmtId="0" fontId="11" fillId="21" borderId="1" xfId="0" applyFont="1" applyFill="1" applyBorder="1" applyAlignment="1">
      <alignment horizontal="center"/>
    </xf>
    <xf numFmtId="0" fontId="56" fillId="15" borderId="0" xfId="0" applyFont="1" applyFill="1"/>
    <xf numFmtId="0" fontId="11" fillId="0" borderId="33" xfId="0" applyFont="1" applyBorder="1" applyAlignment="1">
      <alignment horizontal="center" vertical="center"/>
    </xf>
    <xf numFmtId="0" fontId="0" fillId="20" borderId="33" xfId="0" applyFill="1" applyBorder="1" applyAlignment="1">
      <alignment horizontal="center" vertical="center" wrapText="1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6" xfId="0" applyBorder="1"/>
    <xf numFmtId="0" fontId="0" fillId="0" borderId="7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11" fillId="21" borderId="33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vertical="center" wrapText="1"/>
    </xf>
    <xf numFmtId="0" fontId="11" fillId="21" borderId="35" xfId="0" applyFont="1" applyFill="1" applyBorder="1" applyAlignment="1">
      <alignment horizontal="center"/>
    </xf>
    <xf numFmtId="0" fontId="11" fillId="21" borderId="38" xfId="0" applyFont="1" applyFill="1" applyBorder="1" applyAlignment="1">
      <alignment horizontal="center"/>
    </xf>
    <xf numFmtId="0" fontId="45" fillId="0" borderId="0" xfId="0" applyFont="1"/>
    <xf numFmtId="0" fontId="61" fillId="22" borderId="0" xfId="15" applyFont="1" applyFill="1"/>
    <xf numFmtId="0" fontId="63" fillId="23" borderId="0" xfId="15" applyFont="1" applyFill="1"/>
    <xf numFmtId="0" fontId="66" fillId="4" borderId="1" xfId="15" applyFont="1" applyFill="1" applyBorder="1" applyAlignment="1">
      <alignment horizontal="center"/>
    </xf>
    <xf numFmtId="0" fontId="16" fillId="22" borderId="0" xfId="15" applyFont="1" applyFill="1"/>
    <xf numFmtId="0" fontId="48" fillId="13" borderId="25" xfId="0" applyFont="1" applyFill="1" applyBorder="1" applyAlignment="1">
      <alignment vertical="center"/>
    </xf>
    <xf numFmtId="3" fontId="30" fillId="9" borderId="25" xfId="0" applyNumberFormat="1" applyFont="1" applyFill="1" applyBorder="1" applyAlignment="1">
      <alignment vertical="center"/>
    </xf>
    <xf numFmtId="3" fontId="30" fillId="13" borderId="25" xfId="0" applyNumberFormat="1" applyFont="1" applyFill="1" applyBorder="1" applyAlignment="1">
      <alignment vertical="center"/>
    </xf>
    <xf numFmtId="0" fontId="44" fillId="0" borderId="1" xfId="0" applyFont="1" applyFill="1" applyBorder="1"/>
    <xf numFmtId="0" fontId="44" fillId="7" borderId="0" xfId="0" applyFont="1" applyFill="1"/>
    <xf numFmtId="1" fontId="0" fillId="0" borderId="35" xfId="0" applyNumberFormat="1" applyBorder="1"/>
    <xf numFmtId="1" fontId="0" fillId="0" borderId="36" xfId="0" applyNumberFormat="1" applyBorder="1"/>
    <xf numFmtId="1" fontId="0" fillId="0" borderId="1" xfId="0" applyNumberFormat="1" applyBorder="1"/>
    <xf numFmtId="1" fontId="0" fillId="0" borderId="7" xfId="0" applyNumberFormat="1" applyBorder="1"/>
    <xf numFmtId="1" fontId="0" fillId="0" borderId="38" xfId="0" applyNumberFormat="1" applyBorder="1"/>
    <xf numFmtId="1" fontId="0" fillId="0" borderId="39" xfId="0" applyNumberFormat="1" applyBorder="1"/>
    <xf numFmtId="0" fontId="46" fillId="15" borderId="0" xfId="0" applyFont="1" applyFill="1" applyBorder="1" applyAlignment="1">
      <alignment horizontal="center" vertical="center"/>
    </xf>
    <xf numFmtId="0" fontId="29" fillId="7" borderId="0" xfId="0" applyFont="1" applyFill="1" applyBorder="1" applyAlignment="1">
      <alignment horizontal="left"/>
    </xf>
    <xf numFmtId="0" fontId="37" fillId="8" borderId="0" xfId="0" applyFont="1" applyFill="1" applyBorder="1" applyAlignment="1">
      <alignment horizontal="left" vertical="center" wrapText="1"/>
    </xf>
    <xf numFmtId="0" fontId="37" fillId="8" borderId="0" xfId="0" applyFont="1" applyFill="1" applyBorder="1" applyAlignment="1">
      <alignment horizontal="left" vertical="center"/>
    </xf>
    <xf numFmtId="0" fontId="39" fillId="7" borderId="0" xfId="0" applyFont="1" applyFill="1" applyBorder="1" applyAlignment="1">
      <alignment horizontal="left"/>
    </xf>
    <xf numFmtId="0" fontId="46" fillId="11" borderId="20" xfId="0" applyFont="1" applyFill="1" applyBorder="1" applyAlignment="1">
      <alignment horizontal="center" vertical="center"/>
    </xf>
    <xf numFmtId="0" fontId="46" fillId="11" borderId="17" xfId="0" applyFont="1" applyFill="1" applyBorder="1" applyAlignment="1">
      <alignment horizontal="center" vertical="center"/>
    </xf>
    <xf numFmtId="0" fontId="46" fillId="11" borderId="30" xfId="0" applyFont="1" applyFill="1" applyBorder="1" applyAlignment="1">
      <alignment horizontal="center" vertical="center"/>
    </xf>
    <xf numFmtId="0" fontId="37" fillId="7" borderId="22" xfId="0" applyFont="1" applyFill="1" applyBorder="1" applyAlignment="1">
      <alignment horizontal="left"/>
    </xf>
    <xf numFmtId="0" fontId="37" fillId="7" borderId="24" xfId="0" applyFont="1" applyFill="1" applyBorder="1" applyAlignment="1">
      <alignment horizontal="left"/>
    </xf>
    <xf numFmtId="0" fontId="48" fillId="15" borderId="31" xfId="0" applyFont="1" applyFill="1" applyBorder="1" applyAlignment="1">
      <alignment horizontal="center"/>
    </xf>
    <xf numFmtId="0" fontId="37" fillId="8" borderId="10" xfId="0" applyFont="1" applyFill="1" applyBorder="1" applyAlignment="1">
      <alignment horizontal="left" vertical="center"/>
    </xf>
    <xf numFmtId="0" fontId="37" fillId="8" borderId="28" xfId="0" applyFont="1" applyFill="1" applyBorder="1" applyAlignment="1">
      <alignment horizontal="left" vertical="center"/>
    </xf>
    <xf numFmtId="0" fontId="39" fillId="7" borderId="24" xfId="0" applyFont="1" applyFill="1" applyBorder="1" applyAlignment="1">
      <alignment horizontal="left"/>
    </xf>
    <xf numFmtId="0" fontId="49" fillId="18" borderId="32" xfId="0" applyFont="1" applyFill="1" applyBorder="1" applyAlignment="1">
      <alignment horizontal="center"/>
    </xf>
    <xf numFmtId="0" fontId="11" fillId="4" borderId="32" xfId="0" applyFont="1" applyFill="1" applyBorder="1" applyAlignment="1">
      <alignment horizontal="center"/>
    </xf>
  </cellXfs>
  <cellStyles count="16">
    <cellStyle name="Dobre 2" xfId="11" xr:uid="{00000000-0005-0000-0000-000000000000}"/>
    <cellStyle name="Komma 2" xfId="8" xr:uid="{00000000-0005-0000-0000-000001000000}"/>
    <cellStyle name="Normální 2" xfId="13" xr:uid="{00000000-0005-0000-0000-000002000000}"/>
    <cellStyle name="Normalny" xfId="0" builtinId="0"/>
    <cellStyle name="Normalny 2" xfId="2" xr:uid="{00000000-0005-0000-0000-000004000000}"/>
    <cellStyle name="Normalny 3" xfId="12" xr:uid="{00000000-0005-0000-0000-000005000000}"/>
    <cellStyle name="Normalny 4" xfId="3" xr:uid="{00000000-0005-0000-0000-000006000000}"/>
    <cellStyle name="Normalny 5" xfId="15" xr:uid="{00000000-0005-0000-0000-000007000000}"/>
    <cellStyle name="Procentowy" xfId="1" builtinId="5"/>
    <cellStyle name="Prozent 2" xfId="10" xr:uid="{00000000-0005-0000-0000-000009000000}"/>
    <cellStyle name="Standard 10" xfId="4" xr:uid="{00000000-0005-0000-0000-00000A000000}"/>
    <cellStyle name="Standard 2" xfId="7" xr:uid="{00000000-0005-0000-0000-00000B000000}"/>
    <cellStyle name="Standard 2 2" xfId="9" xr:uid="{00000000-0005-0000-0000-00000C000000}"/>
    <cellStyle name="Standard 4" xfId="14" xr:uid="{00000000-0005-0000-0000-00000D000000}"/>
    <cellStyle name="Standard 6" xfId="6" xr:uid="{00000000-0005-0000-0000-00000E000000}"/>
    <cellStyle name="Standard_Einwo 25-45" xfId="5" xr:uid="{00000000-0005-0000-0000-00000F000000}"/>
  </cellStyles>
  <dxfs count="35">
    <dxf>
      <font>
        <color theme="9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theme="9" tint="-0.499984740745262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theme="9" tint="-0.499984740745262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theme="9" tint="-0.499984740745262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theme="9" tint="-0.499984740745262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theme="9" tint="-0.499984740745262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8C222"/>
      <color rgb="FF4C4C4E"/>
      <color rgb="FFD5EC94"/>
      <color rgb="FFFDC658"/>
      <color rgb="FFA5A7A8"/>
      <color rgb="FF7C96A8"/>
      <color rgb="FFD6D7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Current use of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21296209114582992"/>
          <c:y val="0.24133692683258853"/>
          <c:w val="0.57301107819225161"/>
          <c:h val="0.63828060866315395"/>
        </c:manualLayout>
      </c:layout>
      <c:radarChart>
        <c:radarStyle val="marker"/>
        <c:varyColors val="0"/>
        <c:ser>
          <c:idx val="0"/>
          <c:order val="0"/>
          <c:tx>
            <c:strRef>
              <c:f>'Visualisation &amp; benchmarking'!$C$12</c:f>
              <c:strCache>
                <c:ptCount val="1"/>
                <c:pt idx="0">
                  <c:v>Niemcza</c:v>
                </c:pt>
              </c:strCache>
            </c:strRef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'Visualisation &amp; benchmarking'!$C$36:$G$36</c:f>
              <c:strCache>
                <c:ptCount val="5"/>
                <c:pt idx="0">
                  <c:v>Environmental touristic capacity of the municipality area</c:v>
                </c:pt>
                <c:pt idx="1">
                  <c:v>Environmental capacity of SPA parks</c:v>
                </c:pt>
                <c:pt idx="2">
                  <c:v>Capacity of the legal protected areas within municipality borders</c:v>
                </c:pt>
                <c:pt idx="3">
                  <c:v>Mineral water quantity</c:v>
                </c:pt>
                <c:pt idx="4">
                  <c:v>Sewage quantity</c:v>
                </c:pt>
              </c:strCache>
            </c:strRef>
          </c:cat>
          <c:val>
            <c:numRef>
              <c:f>'Visualisation &amp; benchmarking'!$C$32:$G$32</c:f>
              <c:numCache>
                <c:formatCode>General</c:formatCode>
                <c:ptCount val="5"/>
                <c:pt idx="0">
                  <c:v>0.6300831864427745</c:v>
                </c:pt>
                <c:pt idx="1">
                  <c:v>0.55442176870748294</c:v>
                </c:pt>
                <c:pt idx="2">
                  <c:v>3.2175286221871296E-2</c:v>
                </c:pt>
                <c:pt idx="3">
                  <c:v>0</c:v>
                </c:pt>
                <c:pt idx="4">
                  <c:v>0.20850000000000002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F-46AE-B753-6DF5C6B0F23D}"/>
            </c:ext>
          </c:extLst>
        </c:ser>
        <c:ser>
          <c:idx val="1"/>
          <c:order val="1"/>
          <c:tx>
            <c:strRef>
              <c:f>'Visualisation &amp; benchmarking'!$D$12</c:f>
              <c:strCache>
                <c:ptCount val="1"/>
                <c:pt idx="0">
                  <c:v>Šmarješke Toplice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'Visualisation &amp; benchmarking'!$C$36:$G$36</c:f>
              <c:strCache>
                <c:ptCount val="5"/>
                <c:pt idx="0">
                  <c:v>Environmental touristic capacity of the municipality area</c:v>
                </c:pt>
                <c:pt idx="1">
                  <c:v>Environmental capacity of SPA parks</c:v>
                </c:pt>
                <c:pt idx="2">
                  <c:v>Capacity of the legal protected areas within municipality borders</c:v>
                </c:pt>
                <c:pt idx="3">
                  <c:v>Mineral water quantity</c:v>
                </c:pt>
                <c:pt idx="4">
                  <c:v>Sewage quantity</c:v>
                </c:pt>
              </c:strCache>
            </c:strRef>
          </c:cat>
          <c:val>
            <c:numRef>
              <c:f>'Visualisation &amp; benchmarking'!$C$44:$G$44</c:f>
              <c:numCache>
                <c:formatCode>General</c:formatCode>
                <c:ptCount val="5"/>
                <c:pt idx="0">
                  <c:v>1.08</c:v>
                </c:pt>
                <c:pt idx="1">
                  <c:v>0.78600000000000003</c:v>
                </c:pt>
                <c:pt idx="2">
                  <c:v>1.08</c:v>
                </c:pt>
                <c:pt idx="3">
                  <c:v>0.12166719826422917</c:v>
                </c:pt>
                <c:pt idx="4">
                  <c:v>0.12579653333333335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4F-46AE-B753-6DF5C6B0F23D}"/>
            </c:ext>
          </c:extLst>
        </c:ser>
        <c:ser>
          <c:idx val="2"/>
          <c:order val="2"/>
          <c:tx>
            <c:strRef>
              <c:f>'Visualisation &amp; benchmarking'!$E$12</c:f>
              <c:strCache>
                <c:ptCount val="1"/>
                <c:pt idx="0">
                  <c:v>Bad Zell</c:v>
                </c:pt>
              </c:strCache>
            </c:strRef>
          </c:tx>
          <c:spPr>
            <a:ln w="444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'Visualisation &amp; benchmarking'!$C$56:$G$56</c:f>
              <c:numCache>
                <c:formatCode>0.0%</c:formatCode>
                <c:ptCount val="5"/>
                <c:pt idx="0">
                  <c:v>0.18037135278514588</c:v>
                </c:pt>
                <c:pt idx="1">
                  <c:v>0</c:v>
                </c:pt>
                <c:pt idx="2">
                  <c:v>6.4872231686541729E-2</c:v>
                </c:pt>
                <c:pt idx="3">
                  <c:v>0.76923076923076916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8-438F-A68F-9146B19C0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3038608"/>
        <c:axId val="633040904"/>
      </c:radarChart>
      <c:catAx>
        <c:axId val="63303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33040904"/>
        <c:crosses val="autoZero"/>
        <c:auto val="1"/>
        <c:lblAlgn val="ctr"/>
        <c:lblOffset val="100"/>
        <c:noMultiLvlLbl val="0"/>
      </c:catAx>
      <c:valAx>
        <c:axId val="633040904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3303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7133703165327"/>
          <c:y val="9.6581787697036195E-2"/>
          <c:w val="0.24531040607140139"/>
          <c:h val="0.14032924834209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Maximum additional tourists number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20886693916087434"/>
          <c:y val="0.22993288858182792"/>
          <c:w val="0.55048774227499553"/>
          <c:h val="0.71341077184147206"/>
        </c:manualLayout>
      </c:layout>
      <c:radarChart>
        <c:radarStyle val="marker"/>
        <c:varyColors val="0"/>
        <c:ser>
          <c:idx val="0"/>
          <c:order val="0"/>
          <c:tx>
            <c:strRef>
              <c:f>'Visualisation &amp; benchmarking'!$C$12</c:f>
              <c:strCache>
                <c:ptCount val="1"/>
                <c:pt idx="0">
                  <c:v>Niemcza</c:v>
                </c:pt>
              </c:strCache>
            </c:strRef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'Visualisation &amp; benchmarking'!$C$36:$G$36</c:f>
              <c:strCache>
                <c:ptCount val="5"/>
                <c:pt idx="0">
                  <c:v>Environmental touristic capacity of the municipality area</c:v>
                </c:pt>
                <c:pt idx="1">
                  <c:v>Environmental capacity of SPA parks</c:v>
                </c:pt>
                <c:pt idx="2">
                  <c:v>Capacity of the legal protected areas within municipality borders</c:v>
                </c:pt>
                <c:pt idx="3">
                  <c:v>Mineral water quantity</c:v>
                </c:pt>
                <c:pt idx="4">
                  <c:v>Sewage quantity</c:v>
                </c:pt>
              </c:strCache>
            </c:strRef>
          </c:cat>
          <c:val>
            <c:numRef>
              <c:f>'Visualisation &amp; benchmarking'!$C$33:$G$33</c:f>
              <c:numCache>
                <c:formatCode>General</c:formatCode>
                <c:ptCount val="5"/>
                <c:pt idx="0">
                  <c:v>478</c:v>
                </c:pt>
                <c:pt idx="1">
                  <c:v>655</c:v>
                </c:pt>
                <c:pt idx="2">
                  <c:v>24515</c:v>
                </c:pt>
                <c:pt idx="3">
                  <c:v>0</c:v>
                </c:pt>
                <c:pt idx="4">
                  <c:v>23980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F-46AE-B753-6DF5C6B0F23D}"/>
            </c:ext>
          </c:extLst>
        </c:ser>
        <c:ser>
          <c:idx val="1"/>
          <c:order val="1"/>
          <c:tx>
            <c:strRef>
              <c:f>'Visualisation &amp; benchmarking'!$D$12</c:f>
              <c:strCache>
                <c:ptCount val="1"/>
                <c:pt idx="0">
                  <c:v>Šmarješke Toplice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'Visualisation &amp; benchmarking'!$C$36:$G$36</c:f>
              <c:strCache>
                <c:ptCount val="5"/>
                <c:pt idx="0">
                  <c:v>Environmental touristic capacity of the municipality area</c:v>
                </c:pt>
                <c:pt idx="1">
                  <c:v>Environmental capacity of SPA parks</c:v>
                </c:pt>
                <c:pt idx="2">
                  <c:v>Capacity of the legal protected areas within municipality borders</c:v>
                </c:pt>
                <c:pt idx="3">
                  <c:v>Mineral water quantity</c:v>
                </c:pt>
                <c:pt idx="4">
                  <c:v>Sewage quantity</c:v>
                </c:pt>
              </c:strCache>
            </c:strRef>
          </c:cat>
          <c:val>
            <c:numRef>
              <c:f>'Visualisation &amp; benchmarking'!$C$41:$G$41</c:f>
              <c:numCache>
                <c:formatCode>#,##0</c:formatCode>
                <c:ptCount val="5"/>
                <c:pt idx="0">
                  <c:v>-202</c:v>
                </c:pt>
                <c:pt idx="1">
                  <c:v>107</c:v>
                </c:pt>
                <c:pt idx="2">
                  <c:v>-386</c:v>
                </c:pt>
                <c:pt idx="3">
                  <c:v>27830</c:v>
                </c:pt>
                <c:pt idx="4">
                  <c:v>26790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4F-46AE-B753-6DF5C6B0F23D}"/>
            </c:ext>
          </c:extLst>
        </c:ser>
        <c:ser>
          <c:idx val="2"/>
          <c:order val="2"/>
          <c:tx>
            <c:strRef>
              <c:f>'Visualisation &amp; benchmarking'!$E$12</c:f>
              <c:strCache>
                <c:ptCount val="1"/>
                <c:pt idx="0">
                  <c:v>Bad Zell</c:v>
                </c:pt>
              </c:strCache>
            </c:strRef>
          </c:tx>
          <c:spPr>
            <a:ln w="444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'Visualisation &amp; benchmarking'!$C$57:$G$57</c:f>
              <c:numCache>
                <c:formatCode>#,##0</c:formatCode>
                <c:ptCount val="5"/>
                <c:pt idx="0">
                  <c:v>2163</c:v>
                </c:pt>
                <c:pt idx="1">
                  <c:v>0</c:v>
                </c:pt>
                <c:pt idx="2">
                  <c:v>6862</c:v>
                </c:pt>
                <c:pt idx="3">
                  <c:v>1019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3-4E11-9796-0CEB784F2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3038608"/>
        <c:axId val="633040904"/>
      </c:radarChart>
      <c:catAx>
        <c:axId val="63303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33040904"/>
        <c:crosses val="autoZero"/>
        <c:auto val="1"/>
        <c:lblAlgn val="ctr"/>
        <c:lblOffset val="100"/>
        <c:noMultiLvlLbl val="0"/>
      </c:catAx>
      <c:valAx>
        <c:axId val="6330409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3303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086648901660885"/>
          <c:y val="9.8862595347188317E-2"/>
          <c:w val="0.24508900446983509"/>
          <c:h val="0.140107640317482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1500187</xdr:colOff>
      <xdr:row>1</xdr:row>
      <xdr:rowOff>166688</xdr:rowOff>
    </xdr:from>
    <xdr:to>
      <xdr:col>7</xdr:col>
      <xdr:colOff>1311616</xdr:colOff>
      <xdr:row>4</xdr:row>
      <xdr:rowOff>36419</xdr:rowOff>
    </xdr:to>
    <xdr:grpSp>
      <xdr:nvGrpSpPr>
        <xdr:cNvPr id="9" name="Grupa 8">
          <a:extLst>
            <a:ext uri="{FF2B5EF4-FFF2-40B4-BE49-F238E27FC236}">
              <a16:creationId xmlns:a16="http://schemas.microsoft.com/office/drawing/2014/main" id="{07288CD4-0F27-406C-A1DA-8893E15682C5}"/>
            </a:ext>
          </a:extLst>
        </xdr:cNvPr>
        <xdr:cNvGrpSpPr/>
      </xdr:nvGrpSpPr>
      <xdr:grpSpPr>
        <a:xfrm>
          <a:off x="11930062" y="357188"/>
          <a:ext cx="3307104" cy="946056"/>
          <a:chOff x="9675752" y="89647"/>
          <a:chExt cx="3311866" cy="941294"/>
        </a:xfrm>
      </xdr:grpSpPr>
      <xdr:pic>
        <xdr:nvPicPr>
          <xdr:cNvPr id="10" name="Picture 2" descr="E:\GOSIA_PRACE W TOKU\2019-2022_Interreg Central Europe_HEALING PLACES\LOGO\HealingPlaces\HealingPlaces_for_Combinations.jpg">
            <a:extLst>
              <a:ext uri="{FF2B5EF4-FFF2-40B4-BE49-F238E27FC236}">
                <a16:creationId xmlns:a16="http://schemas.microsoft.com/office/drawing/2014/main" id="{9EEDF192-5E9F-48F5-9A3B-12BEA2A68F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9675752" y="138546"/>
            <a:ext cx="2478250" cy="892395"/>
          </a:xfrm>
          <a:prstGeom prst="rect">
            <a:avLst/>
          </a:prstGeom>
          <a:noFill/>
        </xdr:spPr>
      </xdr:pic>
      <xdr:pic>
        <xdr:nvPicPr>
          <xdr:cNvPr id="11" name="Obraz 10">
            <a:extLst>
              <a:ext uri="{FF2B5EF4-FFF2-40B4-BE49-F238E27FC236}">
                <a16:creationId xmlns:a16="http://schemas.microsoft.com/office/drawing/2014/main" id="{1C0EAE71-C908-4C78-AEBA-74FF0A7FD1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12248029" y="89647"/>
            <a:ext cx="739589" cy="63208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74237</xdr:colOff>
      <xdr:row>66</xdr:row>
      <xdr:rowOff>173412</xdr:rowOff>
    </xdr:from>
    <xdr:to>
      <xdr:col>3</xdr:col>
      <xdr:colOff>270340</xdr:colOff>
      <xdr:row>95</xdr:row>
      <xdr:rowOff>170890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B8188740-9C88-43B7-BABB-BA1DF89FB0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532078</xdr:colOff>
      <xdr:row>66</xdr:row>
      <xdr:rowOff>155201</xdr:rowOff>
    </xdr:from>
    <xdr:to>
      <xdr:col>7</xdr:col>
      <xdr:colOff>61431</xdr:colOff>
      <xdr:row>95</xdr:row>
      <xdr:rowOff>161484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41E6436E-085A-4135-8B0D-B7BF17887B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3395382</xdr:colOff>
      <xdr:row>73</xdr:row>
      <xdr:rowOff>156883</xdr:rowOff>
    </xdr:from>
    <xdr:ext cx="500073" cy="233205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2800F3E9-C21B-428D-85FD-6AB64FFE6256}"/>
            </a:ext>
          </a:extLst>
        </xdr:cNvPr>
        <xdr:cNvSpPr txBox="1"/>
      </xdr:nvSpPr>
      <xdr:spPr>
        <a:xfrm>
          <a:off x="3395382" y="11710148"/>
          <a:ext cx="50007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l-PL" sz="900"/>
            <a:t>&gt;100%</a:t>
          </a:r>
        </a:p>
      </xdr:txBody>
    </xdr:sp>
    <xdr:clientData/>
  </xdr:oneCellAnchor>
  <xdr:twoCellAnchor>
    <xdr:from>
      <xdr:col>4</xdr:col>
      <xdr:colOff>1663546</xdr:colOff>
      <xdr:row>0</xdr:row>
      <xdr:rowOff>89647</xdr:rowOff>
    </xdr:from>
    <xdr:to>
      <xdr:col>6</xdr:col>
      <xdr:colOff>1636059</xdr:colOff>
      <xdr:row>3</xdr:row>
      <xdr:rowOff>246529</xdr:rowOff>
    </xdr:to>
    <xdr:grpSp>
      <xdr:nvGrpSpPr>
        <xdr:cNvPr id="10" name="Grupa 9">
          <a:extLst>
            <a:ext uri="{FF2B5EF4-FFF2-40B4-BE49-F238E27FC236}">
              <a16:creationId xmlns:a16="http://schemas.microsoft.com/office/drawing/2014/main" id="{C6EA8CC2-8545-495F-8674-FFEB636D009D}"/>
            </a:ext>
          </a:extLst>
        </xdr:cNvPr>
        <xdr:cNvGrpSpPr/>
      </xdr:nvGrpSpPr>
      <xdr:grpSpPr>
        <a:xfrm>
          <a:off x="9675752" y="89647"/>
          <a:ext cx="3311866" cy="941294"/>
          <a:chOff x="9675752" y="89647"/>
          <a:chExt cx="3311866" cy="941294"/>
        </a:xfrm>
      </xdr:grpSpPr>
      <xdr:pic>
        <xdr:nvPicPr>
          <xdr:cNvPr id="4" name="Picture 2" descr="E:\GOSIA_PRACE W TOKU\2019-2022_Interreg Central Europe_HEALING PLACES\LOGO\HealingPlaces\HealingPlaces_for_Combinations.jpg">
            <a:extLst>
              <a:ext uri="{FF2B5EF4-FFF2-40B4-BE49-F238E27FC236}">
                <a16:creationId xmlns:a16="http://schemas.microsoft.com/office/drawing/2014/main" id="{535B830E-BC50-469C-916F-FFC32AC120A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9675752" y="138546"/>
            <a:ext cx="2478250" cy="892395"/>
          </a:xfrm>
          <a:prstGeom prst="rect">
            <a:avLst/>
          </a:prstGeom>
          <a:noFill/>
        </xdr:spPr>
      </xdr:pic>
      <xdr:pic>
        <xdr:nvPicPr>
          <xdr:cNvPr id="8" name="Obraz 7">
            <a:extLst>
              <a:ext uri="{FF2B5EF4-FFF2-40B4-BE49-F238E27FC236}">
                <a16:creationId xmlns:a16="http://schemas.microsoft.com/office/drawing/2014/main" id="{066F23E6-2124-4A8E-9CB4-112F7BB580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12248029" y="89647"/>
            <a:ext cx="739589" cy="63208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0</xdr:row>
      <xdr:rowOff>127000</xdr:rowOff>
    </xdr:from>
    <xdr:to>
      <xdr:col>11</xdr:col>
      <xdr:colOff>1001713</xdr:colOff>
      <xdr:row>5</xdr:row>
      <xdr:rowOff>74320</xdr:rowOff>
    </xdr:to>
    <xdr:grpSp>
      <xdr:nvGrpSpPr>
        <xdr:cNvPr id="6" name="Grupa 5">
          <a:extLst>
            <a:ext uri="{FF2B5EF4-FFF2-40B4-BE49-F238E27FC236}">
              <a16:creationId xmlns:a16="http://schemas.microsoft.com/office/drawing/2014/main" id="{B763363A-2514-4B32-87FF-779DF60252F3}"/>
            </a:ext>
          </a:extLst>
        </xdr:cNvPr>
        <xdr:cNvGrpSpPr/>
      </xdr:nvGrpSpPr>
      <xdr:grpSpPr>
        <a:xfrm>
          <a:off x="4782911" y="127000"/>
          <a:ext cx="6328909" cy="899820"/>
          <a:chOff x="10477500" y="452437"/>
          <a:chExt cx="6319838" cy="899820"/>
        </a:xfrm>
      </xdr:grpSpPr>
      <xdr:grpSp>
        <xdr:nvGrpSpPr>
          <xdr:cNvPr id="7" name="Grupa 6">
            <a:extLst>
              <a:ext uri="{FF2B5EF4-FFF2-40B4-BE49-F238E27FC236}">
                <a16:creationId xmlns:a16="http://schemas.microsoft.com/office/drawing/2014/main" id="{4457E56F-5858-4E59-B9F5-1DD878EC0D61}"/>
              </a:ext>
            </a:extLst>
          </xdr:cNvPr>
          <xdr:cNvGrpSpPr/>
        </xdr:nvGrpSpPr>
        <xdr:grpSpPr>
          <a:xfrm>
            <a:off x="10477500" y="452438"/>
            <a:ext cx="4418403" cy="899819"/>
            <a:chOff x="10307485" y="132523"/>
            <a:chExt cx="4418403" cy="899819"/>
          </a:xfrm>
        </xdr:grpSpPr>
        <xdr:pic>
          <xdr:nvPicPr>
            <xdr:cNvPr id="9" name="Picture 2" descr="E:\GOSIA_PRACE W TOKU\2019-2022_Interreg Central Europe_HEALING PLACES\LOGO\HealingPlaces\HealingPlaces_for_Combinations.jpg">
              <a:extLst>
                <a:ext uri="{FF2B5EF4-FFF2-40B4-BE49-F238E27FC236}">
                  <a16:creationId xmlns:a16="http://schemas.microsoft.com/office/drawing/2014/main" id="{CA83475F-DFE9-4516-863A-B487BC9CEAC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10307485" y="138546"/>
              <a:ext cx="2570403" cy="893796"/>
            </a:xfrm>
            <a:prstGeom prst="rect">
              <a:avLst/>
            </a:prstGeom>
            <a:noFill/>
          </xdr:spPr>
        </xdr:pic>
        <xdr:pic>
          <xdr:nvPicPr>
            <xdr:cNvPr id="10" name="Obraz 9">
              <a:extLst>
                <a:ext uri="{FF2B5EF4-FFF2-40B4-BE49-F238E27FC236}">
                  <a16:creationId xmlns:a16="http://schemas.microsoft.com/office/drawing/2014/main" id="{905490F6-949D-4CDB-8082-5C6B1D3DBDD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959177" y="132523"/>
              <a:ext cx="1766711" cy="53058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8" name="Obraz 7" descr="Województwo Dolnośląskie – Instytut Rozwoju Terytorialnego (IRT) - Spa 4  Development">
            <a:extLst>
              <a:ext uri="{FF2B5EF4-FFF2-40B4-BE49-F238E27FC236}">
                <a16:creationId xmlns:a16="http://schemas.microsoft.com/office/drawing/2014/main" id="{08542158-C600-49C8-BE8F-E5CFD524C4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15025688" y="452437"/>
            <a:ext cx="1771650" cy="53594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214312</xdr:colOff>
      <xdr:row>1</xdr:row>
      <xdr:rowOff>285749</xdr:rowOff>
    </xdr:from>
    <xdr:to>
      <xdr:col>17</xdr:col>
      <xdr:colOff>819150</xdr:colOff>
      <xdr:row>1</xdr:row>
      <xdr:rowOff>1185569</xdr:rowOff>
    </xdr:to>
    <xdr:grpSp>
      <xdr:nvGrpSpPr>
        <xdr:cNvPr id="9" name="Grupa 8">
          <a:extLst>
            <a:ext uri="{FF2B5EF4-FFF2-40B4-BE49-F238E27FC236}">
              <a16:creationId xmlns:a16="http://schemas.microsoft.com/office/drawing/2014/main" id="{AF977C95-4C29-4B39-B2AD-1D87E5B6036D}"/>
            </a:ext>
          </a:extLst>
        </xdr:cNvPr>
        <xdr:cNvGrpSpPr/>
      </xdr:nvGrpSpPr>
      <xdr:grpSpPr>
        <a:xfrm>
          <a:off x="10650991" y="476249"/>
          <a:ext cx="6238195" cy="899820"/>
          <a:chOff x="10477500" y="452437"/>
          <a:chExt cx="6319838" cy="899820"/>
        </a:xfrm>
      </xdr:grpSpPr>
      <xdr:grpSp>
        <xdr:nvGrpSpPr>
          <xdr:cNvPr id="5" name="Grupa 4">
            <a:extLst>
              <a:ext uri="{FF2B5EF4-FFF2-40B4-BE49-F238E27FC236}">
                <a16:creationId xmlns:a16="http://schemas.microsoft.com/office/drawing/2014/main" id="{34632DBF-26B8-44E4-BDB3-EE2F5F8FDE13}"/>
              </a:ext>
            </a:extLst>
          </xdr:cNvPr>
          <xdr:cNvGrpSpPr/>
        </xdr:nvGrpSpPr>
        <xdr:grpSpPr>
          <a:xfrm>
            <a:off x="10477500" y="452438"/>
            <a:ext cx="4418403" cy="899819"/>
            <a:chOff x="10307485" y="132523"/>
            <a:chExt cx="4418403" cy="899819"/>
          </a:xfrm>
        </xdr:grpSpPr>
        <xdr:pic>
          <xdr:nvPicPr>
            <xdr:cNvPr id="6" name="Picture 2" descr="E:\GOSIA_PRACE W TOKU\2019-2022_Interreg Central Europe_HEALING PLACES\LOGO\HealingPlaces\HealingPlaces_for_Combinations.jpg">
              <a:extLst>
                <a:ext uri="{FF2B5EF4-FFF2-40B4-BE49-F238E27FC236}">
                  <a16:creationId xmlns:a16="http://schemas.microsoft.com/office/drawing/2014/main" id="{EC08DEEB-ACCA-44EE-B2F5-449F081FBA2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10307485" y="138546"/>
              <a:ext cx="2570403" cy="893796"/>
            </a:xfrm>
            <a:prstGeom prst="rect">
              <a:avLst/>
            </a:prstGeom>
            <a:noFill/>
          </xdr:spPr>
        </xdr:pic>
        <xdr:pic>
          <xdr:nvPicPr>
            <xdr:cNvPr id="7" name="Obraz 6">
              <a:extLst>
                <a:ext uri="{FF2B5EF4-FFF2-40B4-BE49-F238E27FC236}">
                  <a16:creationId xmlns:a16="http://schemas.microsoft.com/office/drawing/2014/main" id="{E9527877-1F13-4155-ABD1-BA59FEF4049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959177" y="132523"/>
              <a:ext cx="1766711" cy="53058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8" name="Obraz 7" descr="Województwo Dolnośląskie – Instytut Rozwoju Terytorialnego (IRT) - Spa 4  Development">
            <a:extLst>
              <a:ext uri="{FF2B5EF4-FFF2-40B4-BE49-F238E27FC236}">
                <a16:creationId xmlns:a16="http://schemas.microsoft.com/office/drawing/2014/main" id="{06689595-D91B-42CB-A269-D3C0BF1173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15025688" y="452437"/>
            <a:ext cx="1771650" cy="53594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1"/>
  <sheetViews>
    <sheetView showGridLines="0" tabSelected="1" zoomScaleNormal="100" workbookViewId="0">
      <selection activeCell="E14" sqref="E14"/>
    </sheetView>
  </sheetViews>
  <sheetFormatPr defaultRowHeight="15"/>
  <cols>
    <col min="1" max="1" width="5.85546875" style="1" customWidth="1"/>
    <col min="2" max="2" width="68.7109375" style="1" customWidth="1"/>
    <col min="3" max="3" width="30.42578125" style="1" customWidth="1"/>
    <col min="4" max="4" width="25" style="1" customWidth="1"/>
    <col min="5" max="5" width="26.42578125" style="1" customWidth="1"/>
    <col min="6" max="6" width="25" style="1" customWidth="1"/>
    <col min="7" max="7" width="27.42578125" style="1" customWidth="1"/>
    <col min="8" max="8" width="22.85546875" style="1" customWidth="1"/>
    <col min="9" max="10" width="14.42578125" style="1" customWidth="1"/>
    <col min="11" max="11" width="15.28515625" style="1" customWidth="1"/>
    <col min="12" max="12" width="14" style="1" customWidth="1"/>
    <col min="13" max="13" width="11.42578125" style="1" customWidth="1"/>
    <col min="14" max="14" width="11.5703125" style="1" customWidth="1"/>
    <col min="15" max="16384" width="9.140625" style="1"/>
  </cols>
  <sheetData>
    <row r="1" spans="1:24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ht="31.5" customHeight="1">
      <c r="B2" s="8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>
      <c r="A3" s="117"/>
      <c r="B3" s="43"/>
      <c r="C3" s="43"/>
      <c r="D3" s="43"/>
      <c r="E3" s="43"/>
      <c r="F3" s="43"/>
      <c r="G3" s="43"/>
      <c r="H3" s="43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4" ht="38.25" customHeight="1">
      <c r="A4" s="117"/>
      <c r="B4" s="43"/>
      <c r="C4" s="43"/>
      <c r="D4" s="43"/>
      <c r="E4" s="43"/>
      <c r="F4" s="43"/>
      <c r="G4" s="43"/>
      <c r="H4" s="43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4" ht="31.5" customHeight="1">
      <c r="A5" s="117"/>
      <c r="B5" s="84" t="s">
        <v>204</v>
      </c>
      <c r="C5" s="82"/>
      <c r="D5" s="82"/>
      <c r="E5" s="82"/>
      <c r="F5" s="82"/>
      <c r="G5" s="82"/>
      <c r="H5" s="43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24" ht="37.5" customHeight="1">
      <c r="A6" s="117"/>
      <c r="B6" s="204" t="s">
        <v>219</v>
      </c>
      <c r="C6" s="205"/>
      <c r="D6" s="205"/>
      <c r="E6" s="205"/>
      <c r="F6" s="205"/>
      <c r="G6" s="205"/>
      <c r="H6" s="205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</row>
    <row r="7" spans="1:24" ht="3.75" customHeight="1">
      <c r="A7" s="117"/>
      <c r="B7" s="91"/>
      <c r="C7" s="91"/>
      <c r="D7" s="91"/>
      <c r="E7" s="91"/>
      <c r="F7" s="91"/>
      <c r="G7" s="91"/>
      <c r="H7" s="43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</row>
    <row r="8" spans="1:24" ht="18.75" customHeight="1">
      <c r="A8" s="117"/>
      <c r="B8" s="91"/>
      <c r="C8" s="91"/>
      <c r="D8" s="91"/>
      <c r="E8" s="91"/>
      <c r="F8" s="91"/>
      <c r="G8" s="91"/>
      <c r="H8" s="43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</row>
    <row r="9" spans="1:24" ht="28.5" customHeight="1">
      <c r="A9" s="117"/>
      <c r="B9" s="130" t="s">
        <v>208</v>
      </c>
      <c r="C9" s="91"/>
      <c r="D9" s="91"/>
      <c r="E9" s="91"/>
      <c r="F9" s="91"/>
      <c r="G9" s="91"/>
      <c r="H9" s="43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1:24" ht="10.5" customHeight="1">
      <c r="A10" s="117"/>
      <c r="B10" s="43"/>
      <c r="C10" s="43"/>
      <c r="D10" s="43"/>
      <c r="E10" s="43"/>
      <c r="F10" s="43"/>
      <c r="G10" s="43"/>
      <c r="H10" s="43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4" ht="19.5" thickBot="1">
      <c r="A11" s="117"/>
      <c r="B11" s="45" t="s">
        <v>158</v>
      </c>
      <c r="C11" s="46" t="s">
        <v>3</v>
      </c>
      <c r="D11" s="104">
        <f>VLOOKUP(C11,data!A1:C7,2,FALSE)</f>
        <v>34</v>
      </c>
      <c r="E11" s="104">
        <f>VLOOKUP(C11,data!A1:C7,3,FALSE)</f>
        <v>43</v>
      </c>
      <c r="F11" s="53"/>
      <c r="G11" s="54"/>
      <c r="H11" s="43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1:24" ht="30" customHeight="1" thickTop="1" thickBot="1">
      <c r="A12" s="117"/>
      <c r="B12" s="78" t="s">
        <v>164</v>
      </c>
      <c r="C12" s="118" t="s">
        <v>31</v>
      </c>
      <c r="D12" s="119" t="str">
        <f>CONCATENATE(ADDRESS(D11,2,,,"main database"),":",ADDRESS(E11,2))</f>
        <v>'main database'!$B$34:$B$43</v>
      </c>
      <c r="E12" s="104" t="s">
        <v>173</v>
      </c>
      <c r="F12" s="53"/>
      <c r="G12" s="120"/>
      <c r="H12" s="43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1:24" ht="28.5" customHeight="1" thickTop="1" thickBot="1">
      <c r="A13" s="117"/>
      <c r="B13" s="59" t="s">
        <v>228</v>
      </c>
      <c r="C13" s="52">
        <f>VLOOKUP($C$12,'Main database'!$B$3:$AA$45,2,FALSE)</f>
        <v>117.27</v>
      </c>
      <c r="D13" s="53"/>
      <c r="E13" s="53"/>
      <c r="F13" s="53"/>
      <c r="G13" s="120"/>
      <c r="H13" s="43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</row>
    <row r="14" spans="1:24" ht="28.5" customHeight="1" thickTop="1" thickBot="1">
      <c r="A14" s="117"/>
      <c r="B14" s="59" t="s">
        <v>26</v>
      </c>
      <c r="C14" s="52">
        <f>VLOOKUP($C$12,'Main database'!$B$3:$AA$45,3,FALSE)</f>
        <v>6.5400000000000009</v>
      </c>
      <c r="D14" s="53"/>
      <c r="E14" s="53"/>
      <c r="F14" s="53"/>
      <c r="G14" s="120"/>
      <c r="H14" s="43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</row>
    <row r="15" spans="1:24" ht="28.5" customHeight="1" thickTop="1" thickBot="1">
      <c r="A15" s="117"/>
      <c r="B15" s="59" t="s">
        <v>175</v>
      </c>
      <c r="C15" s="52">
        <f>VLOOKUP($C$12,'Main database'!$B$3:$AA$45,21,FALSE)</f>
        <v>14</v>
      </c>
      <c r="D15" s="53"/>
      <c r="E15" s="53"/>
      <c r="F15" s="53"/>
      <c r="G15" s="120"/>
      <c r="H15" s="117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</row>
    <row r="16" spans="1:24" ht="28.5" customHeight="1" thickTop="1" thickBot="1">
      <c r="A16" s="117"/>
      <c r="B16" s="59" t="s">
        <v>70</v>
      </c>
      <c r="C16" s="55">
        <f>VLOOKUP($C$12,'Main database'!$B$3:$AA$45,4,FALSE)</f>
        <v>8276</v>
      </c>
      <c r="D16" s="54"/>
      <c r="E16" s="54"/>
      <c r="F16" s="54"/>
      <c r="G16" s="54"/>
      <c r="H16" s="43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</row>
    <row r="17" spans="1:24" ht="28.5" customHeight="1" thickTop="1" thickBot="1">
      <c r="A17" s="117"/>
      <c r="B17" s="59" t="s">
        <v>157</v>
      </c>
      <c r="C17" s="55">
        <f>VLOOKUP($C$12,'Main database'!$B$3:$AA$45,20,FALSE)</f>
        <v>1178</v>
      </c>
      <c r="D17" s="54"/>
      <c r="E17" s="54"/>
      <c r="F17" s="54"/>
      <c r="G17" s="54"/>
      <c r="H17" s="43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</row>
    <row r="18" spans="1:24" ht="28.5" customHeight="1" thickTop="1" thickBot="1">
      <c r="A18" s="117"/>
      <c r="B18" s="59" t="s">
        <v>155</v>
      </c>
      <c r="C18" s="55">
        <f>IF(ISERROR(VLOOKUP($C$12,'Main database'!$B$3:$AAT$45,5,FALSE)),"NoData",VLOOKUP($C$12,'Main database'!$B$3:$AA$45,5,FALSE))</f>
        <v>1767</v>
      </c>
      <c r="D18" s="54"/>
      <c r="E18" s="54"/>
      <c r="F18" s="54"/>
      <c r="G18" s="54"/>
      <c r="H18" s="43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</row>
    <row r="19" spans="1:24" ht="28.5" customHeight="1" thickTop="1" thickBot="1">
      <c r="A19" s="117"/>
      <c r="B19" s="59" t="s">
        <v>156</v>
      </c>
      <c r="C19" s="55">
        <f>IF(ISERROR(C17+C18),"NoData",C17+C18)</f>
        <v>2945</v>
      </c>
      <c r="D19" s="54"/>
      <c r="E19" s="54"/>
      <c r="F19" s="54"/>
      <c r="G19" s="54"/>
      <c r="H19" s="43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</row>
    <row r="20" spans="1:24" ht="17.25" thickTop="1">
      <c r="A20" s="117"/>
      <c r="B20" s="54"/>
      <c r="C20" s="56"/>
      <c r="D20" s="54"/>
      <c r="E20" s="54"/>
      <c r="F20" s="54"/>
      <c r="G20" s="54"/>
      <c r="H20" s="43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</row>
    <row r="21" spans="1:24" ht="16.5">
      <c r="A21" s="117"/>
      <c r="B21" s="54"/>
      <c r="C21" s="54"/>
      <c r="D21" s="54"/>
      <c r="E21" s="54"/>
      <c r="F21" s="54"/>
      <c r="G21" s="54"/>
      <c r="H21" s="43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</row>
    <row r="22" spans="1:24" ht="36" customHeight="1" thickBot="1">
      <c r="A22" s="117"/>
      <c r="B22" s="206" t="s">
        <v>143</v>
      </c>
      <c r="C22" s="206"/>
      <c r="D22" s="206"/>
      <c r="E22" s="206"/>
      <c r="F22" s="206"/>
      <c r="G22" s="206"/>
      <c r="H22" s="128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</row>
    <row r="23" spans="1:24" ht="29.25" customHeight="1" thickTop="1">
      <c r="A23" s="117"/>
      <c r="B23" s="129"/>
      <c r="C23" s="207" t="s">
        <v>1</v>
      </c>
      <c r="D23" s="208"/>
      <c r="E23" s="208"/>
      <c r="F23" s="208"/>
      <c r="G23" s="209"/>
      <c r="H23" s="43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</row>
    <row r="24" spans="1:24" ht="102" customHeight="1" thickBot="1">
      <c r="A24" s="117"/>
      <c r="B24" s="77" t="s">
        <v>207</v>
      </c>
      <c r="C24" s="126" t="s">
        <v>167</v>
      </c>
      <c r="D24" s="126" t="s">
        <v>165</v>
      </c>
      <c r="E24" s="126" t="s">
        <v>174</v>
      </c>
      <c r="F24" s="126" t="s">
        <v>166</v>
      </c>
      <c r="G24" s="126" t="s">
        <v>170</v>
      </c>
      <c r="H24" s="43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</row>
    <row r="25" spans="1:24" ht="27.75" customHeight="1" thickTop="1" thickBot="1">
      <c r="A25" s="117"/>
      <c r="B25" s="121"/>
      <c r="C25" s="80" t="s">
        <v>168</v>
      </c>
      <c r="D25" s="80" t="s">
        <v>28</v>
      </c>
      <c r="E25" s="80" t="s">
        <v>168</v>
      </c>
      <c r="F25" s="80" t="s">
        <v>169</v>
      </c>
      <c r="G25" s="80" t="s">
        <v>169</v>
      </c>
      <c r="H25" s="43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</row>
    <row r="26" spans="1:24" ht="33" customHeight="1" thickTop="1" thickBot="1">
      <c r="A26" s="117"/>
      <c r="B26" s="68" t="s">
        <v>0</v>
      </c>
      <c r="C26" s="68">
        <f>IF(ISERROR((C17+C18)/C13),"NoData",(C17+C18)/C13)</f>
        <v>25.112987123731561</v>
      </c>
      <c r="D26" s="68">
        <f>IF(ISERR((C17+C18)/C14),"NoData",(C17+C18)/C14)</f>
        <v>450.30581039755344</v>
      </c>
      <c r="E26" s="68">
        <f>IF(ISERROR((C18+C17)/VLOOKUP($C$12,'Main database'!$B$3:$AA$45,23,FALSE)),"NoData",(C18+C17)/VLOOKUP($C$12,'Main database'!$B$3:$AA$45,23,FALSE))</f>
        <v>0.50939218874321102</v>
      </c>
      <c r="F26" s="68">
        <f>IF(VLOOKUP($C$12,'Main database'!$B$3:$AA$45,12,FALSE)="","NoData",VLOOKUP($C$12,'Main database'!$B$3:$AA$45,12,FALSE))</f>
        <v>478.16575342465751</v>
      </c>
      <c r="G26" s="68">
        <f>IF(VLOOKUP($C$12,'Main database'!$B$3:$AA$45,7,FALSE)="","NoData",VLOOKUP($C$12,'Main database'!$B$3:$AA$45,7,FALSE))</f>
        <v>2487.6999999999998</v>
      </c>
      <c r="H26" s="43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</row>
    <row r="27" spans="1:24" ht="33" customHeight="1" thickTop="1" thickBot="1">
      <c r="A27" s="117"/>
      <c r="B27" s="68" t="s">
        <v>2</v>
      </c>
      <c r="C27" s="68">
        <f>IF(C15&lt;10,18,IF(C15&lt;40,58,127))</f>
        <v>58</v>
      </c>
      <c r="D27" s="68">
        <v>500</v>
      </c>
      <c r="E27" s="68">
        <v>25</v>
      </c>
      <c r="F27" s="68">
        <f>IF(VLOOKUP($C$12,'Main database'!$B$3:$AA$45,13,FALSE)=0,"NoData",VLOOKUP($C$12,'Main database'!$B$3:$AA$45,13,FALSE))</f>
        <v>1224</v>
      </c>
      <c r="G27" s="68">
        <f>IF(VLOOKUP($C$12,'Main database'!$B$3:$AA$45,8,FALSE)=0,"NoData",VLOOKUP($C$12,'Main database'!$B$3:$AA$45,8,FALSE))</f>
        <v>8000</v>
      </c>
      <c r="H27" s="43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</row>
    <row r="28" spans="1:24" ht="33" customHeight="1" thickTop="1" thickBot="1">
      <c r="A28" s="117"/>
      <c r="B28" s="127" t="s">
        <v>25</v>
      </c>
      <c r="C28" s="85">
        <f>IF(ISERROR(C26/C27),"-",IF((C26/C27)&gt;1,"&gt;100%",(C26/C27)))</f>
        <v>0.4329825366160614</v>
      </c>
      <c r="D28" s="85">
        <f>IF(ISERROR(D26/D27),"-",IF((D26/D27)&gt;1,"&gt;100%",(D26/D27)))</f>
        <v>0.90061162079510693</v>
      </c>
      <c r="E28" s="85">
        <f>IF(ISERROR(E26/E27),"-",IF((E26/E27)&gt;1,"&gt;100%",(E26/E27)))</f>
        <v>2.037568754972844E-2</v>
      </c>
      <c r="F28" s="85">
        <f>IF(ISERROR(F26/F27),"-",IF((F26/F27)&gt;1,"&gt;100%",(F26/F27)))</f>
        <v>0.39065829528158291</v>
      </c>
      <c r="G28" s="85">
        <f>IF(ISERROR(G26/G27),"-",IF((G26/G27)&gt;1,"&gt;100%",(G26/G27)))</f>
        <v>0.31096249999999998</v>
      </c>
      <c r="H28" s="43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</row>
    <row r="29" spans="1:24" ht="37.5" customHeight="1" thickTop="1" thickBot="1">
      <c r="A29" s="117"/>
      <c r="B29" s="63" t="s">
        <v>141</v>
      </c>
      <c r="C29" s="193">
        <f>IF(ISERROR(ROUND((C13*C27)-(C17+C18),0)),"NoData",ROUND((C13*C27)-(C17+C18),0))</f>
        <v>3857</v>
      </c>
      <c r="D29" s="193">
        <f>IF(C14=0,"NoData",ROUND((C14*D27)-(C17+C18),0))</f>
        <v>325</v>
      </c>
      <c r="E29" s="193">
        <f>IF(E26="NoData","NoData",ROUND((VLOOKUP($C$12,'Main database'!$B$3:$AA$45,23,FALSE)*E27)-(C17+C18),0))</f>
        <v>141590</v>
      </c>
      <c r="F29" s="193">
        <f>IF(ISERROR(ROUND(F27/(F26/SUM(C16:C18))-SUM(C16:C18),0)),"NoData",ROUND(F27/(F26/SUM(C16:C18))-SUM(C16:C18),0))</f>
        <v>17502</v>
      </c>
      <c r="G29" s="193">
        <f>IF(ISERROR(ROUND(G27/(G26/SUM(C16:C18))-SUM(C16:C18),0)),"NoData",ROUND(G27/(G26/SUM(C16:C18))-SUM(C16:C18),0))</f>
        <v>24864</v>
      </c>
      <c r="H29" s="43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</row>
    <row r="30" spans="1:24" ht="18" thickTop="1" thickBot="1">
      <c r="A30" s="117"/>
      <c r="B30" s="122"/>
      <c r="C30" s="54"/>
      <c r="D30" s="54"/>
      <c r="E30" s="54"/>
      <c r="F30" s="54"/>
      <c r="G30" s="54"/>
      <c r="H30" s="43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1:24" ht="41.25" customHeight="1" thickTop="1" thickBot="1">
      <c r="A31" s="117"/>
      <c r="B31" s="191" t="s">
        <v>220</v>
      </c>
      <c r="C31" s="65">
        <f>MAX(MIN(C29:G29),0)</f>
        <v>325</v>
      </c>
      <c r="D31" s="54"/>
      <c r="E31" s="54"/>
      <c r="F31" s="54"/>
      <c r="G31" s="54"/>
      <c r="H31" s="43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1:24" ht="17.25" thickTop="1">
      <c r="A32" s="117"/>
      <c r="B32" s="54"/>
      <c r="C32" s="54"/>
      <c r="D32" s="54"/>
      <c r="E32" s="54"/>
      <c r="F32" s="54"/>
      <c r="G32" s="54"/>
      <c r="H32" s="43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1:24" ht="21">
      <c r="A33" s="117"/>
      <c r="B33" s="203"/>
      <c r="C33" s="203"/>
      <c r="D33" s="203"/>
      <c r="E33" s="203"/>
      <c r="F33" s="203"/>
      <c r="G33" s="203"/>
      <c r="H33" s="43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1:24" ht="27.75">
      <c r="A34" s="117"/>
      <c r="B34" s="206" t="s">
        <v>218</v>
      </c>
      <c r="C34" s="206"/>
      <c r="D34" s="206"/>
      <c r="E34" s="206"/>
      <c r="F34" s="206"/>
      <c r="G34" s="206"/>
      <c r="H34" s="128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1:24" ht="26.25" customHeight="1">
      <c r="A35" s="117"/>
      <c r="B35" s="129"/>
      <c r="C35" s="202" t="s">
        <v>1</v>
      </c>
      <c r="D35" s="202"/>
      <c r="E35" s="202"/>
      <c r="F35" s="202"/>
      <c r="G35" s="202"/>
      <c r="H35" s="20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ht="59.25" customHeight="1" thickBot="1">
      <c r="A36" s="117"/>
      <c r="B36" s="76" t="s">
        <v>207</v>
      </c>
      <c r="C36" s="125" t="s">
        <v>144</v>
      </c>
      <c r="D36" s="125" t="s">
        <v>145</v>
      </c>
      <c r="E36" s="125" t="s">
        <v>146</v>
      </c>
      <c r="F36" s="125" t="s">
        <v>150</v>
      </c>
      <c r="G36" s="126" t="s">
        <v>206</v>
      </c>
      <c r="H36" s="126" t="s">
        <v>205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1:24" ht="25.5" customHeight="1" thickTop="1" thickBot="1">
      <c r="A37" s="117"/>
      <c r="B37" s="80"/>
      <c r="C37" s="80" t="s">
        <v>169</v>
      </c>
      <c r="D37" s="80" t="s">
        <v>85</v>
      </c>
      <c r="E37" s="80" t="s">
        <v>148</v>
      </c>
      <c r="F37" s="80" t="s">
        <v>229</v>
      </c>
      <c r="G37" s="80" t="s">
        <v>137</v>
      </c>
      <c r="H37" s="80" t="s">
        <v>137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1:24" ht="27.75" customHeight="1" thickTop="1" thickBot="1">
      <c r="A38" s="117"/>
      <c r="B38" s="66" t="s">
        <v>0</v>
      </c>
      <c r="C38" s="192">
        <f>IF(VLOOKUP($C$12,'Main database'!$B$3:$AA$45,10,FALSE)="","NoData",VLOOKUP($C$12,'Main database'!$B$3:$AA$45,10,FALSE))</f>
        <v>741.9</v>
      </c>
      <c r="D38" s="192">
        <f>IF(VLOOKUP($C$12,'Main database'!$B$3:$AA$45,15,FALSE)="","NoData",VLOOKUP($C$12,'Main database'!$B$3:$AA$45,15,FALSE))</f>
        <v>3174.41</v>
      </c>
      <c r="E38" s="192">
        <f>IF(VLOOKUP($C$12,'Main database'!$B$3:$AA$45,17,FALSE)="","NoData",VLOOKUP($C$12,'Main database'!$B$3:$AA$45,17,FALSE))</f>
        <v>3735.94</v>
      </c>
      <c r="F38" s="192">
        <f>IF(VLOOKUP($C$12,'Main database'!$B$3:$AA$45,19,FALSE)="","NoData",VLOOKUP($C$12,'Main database'!$B$3:$AA$45,19,FALSE))</f>
        <v>13155830.585903084</v>
      </c>
      <c r="G38" s="123" t="str">
        <f>'GW vulnerability algorithm'!L38</f>
        <v>moderate risk</v>
      </c>
      <c r="H38" s="124" t="str">
        <f>VLOOKUP(C12,' LandCover database'!C95:T135,18,FALSE)</f>
        <v>low risk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1:24" ht="63.75" customHeight="1" thickTop="1" thickBot="1">
      <c r="A39" s="117"/>
      <c r="B39" s="131" t="s">
        <v>209</v>
      </c>
      <c r="C39" s="58">
        <f>IF(ISERROR(C38/(SUM($C$16:$C$18)*$C$31)+C38),"NoData",(C38/SUM($C$16:$C$18)*$C$31)+C38)</f>
        <v>763.38805810533813</v>
      </c>
      <c r="D39" s="58">
        <f>IF(ISERROR(D38/(SUM($C$16:$C$18)*$C$31)+D38),"NoData",D38/SUM($C$16:$C$18)*$C$31+D38)</f>
        <v>3266.3521842972996</v>
      </c>
      <c r="E39" s="58">
        <f>IF(ISERROR(E38/(SUM($C$16:$C$18)*$C$31)+E38),"NoData",E38/SUM($C$16:$C$18)*$C$31+E38)</f>
        <v>3844.1460868015329</v>
      </c>
      <c r="F39" s="58">
        <f>IF(ISERROR(F38/(C19*$C$31)+F38),"NoData",(F38/C19)*$C$31+F38)</f>
        <v>14607662.484177617</v>
      </c>
      <c r="G39" s="49"/>
      <c r="H39" s="49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1:24" ht="17.25" thickTop="1">
      <c r="A40" s="117"/>
      <c r="B40" s="54"/>
      <c r="C40" s="54"/>
      <c r="D40" s="54"/>
      <c r="E40" s="54"/>
      <c r="F40" s="54"/>
      <c r="G40" s="54"/>
      <c r="H40" s="43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1:24" ht="16.5">
      <c r="B41" s="49"/>
      <c r="C41" s="49"/>
      <c r="D41" s="49"/>
      <c r="E41" s="49"/>
      <c r="F41" s="49"/>
      <c r="G41" s="49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1:24" ht="16.5">
      <c r="B42" s="49"/>
      <c r="C42" s="49"/>
      <c r="D42" s="49"/>
      <c r="E42" s="49"/>
      <c r="F42" s="49"/>
      <c r="G42" s="49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1:24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1:24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1:24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1:24"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1:24"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  <row r="48" spans="1:24"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</row>
    <row r="49" spans="2:24"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</row>
    <row r="50" spans="2:24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</row>
    <row r="51" spans="2:24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</row>
    <row r="52" spans="2:24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</row>
    <row r="53" spans="2:24"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</row>
    <row r="54" spans="2:24"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</row>
    <row r="55" spans="2:24"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</row>
    <row r="56" spans="2:24"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</row>
    <row r="57" spans="2:24"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</row>
    <row r="58" spans="2:24"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</row>
    <row r="59" spans="2:24"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</row>
    <row r="60" spans="2:24"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</row>
    <row r="61" spans="2:24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</row>
  </sheetData>
  <mergeCells count="6">
    <mergeCell ref="C35:H35"/>
    <mergeCell ref="B33:G33"/>
    <mergeCell ref="B6:H6"/>
    <mergeCell ref="B22:G22"/>
    <mergeCell ref="C23:G23"/>
    <mergeCell ref="B34:G34"/>
  </mergeCells>
  <conditionalFormatting sqref="D28:G28">
    <cfRule type="cellIs" dxfId="34" priority="2" operator="equal">
      <formula>"&gt;100%"</formula>
    </cfRule>
  </conditionalFormatting>
  <conditionalFormatting sqref="B28:C28">
    <cfRule type="cellIs" dxfId="33" priority="1" operator="equal">
      <formula>"&gt;100%"</formula>
    </cfRule>
  </conditionalFormatting>
  <dataValidations count="1">
    <dataValidation type="list" allowBlank="1" showInputMessage="1" showErrorMessage="1" sqref="C12" xr:uid="{00000000-0002-0000-0000-000000000000}">
      <formula1>INDIRECT(D12)</formula1>
    </dataValidation>
  </dataValidations>
  <pageMargins left="0.7" right="0.7" top="0.75" bottom="0.75" header="0.3" footer="0.3"/>
  <pageSetup paperSize="9" scale="3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equal" id="{0A6C5632-DB70-4071-B02D-C74B97DF4F0F}">
            <xm:f>'GW vulnerability algorithm'!$D$49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10" operator="equal" id="{340A8008-BCE8-4D7D-85F0-B64D3FB746D9}">
            <xm:f>'GW vulnerability algorithm'!$D$48</xm:f>
            <x14:dxf>
              <font>
                <b/>
                <i val="0"/>
                <color theme="1"/>
              </font>
              <fill>
                <patternFill>
                  <bgColor theme="7"/>
                </patternFill>
              </fill>
            </x14:dxf>
          </x14:cfRule>
          <x14:cfRule type="cellIs" priority="11" operator="equal" id="{451257C0-278E-417A-91D6-F1BC996490D0}">
            <xm:f>'GW vulnerability algorithm'!$D$47</xm:f>
            <x14:dxf>
              <font>
                <b/>
                <i val="0"/>
                <color theme="1"/>
              </font>
              <fill>
                <patternFill>
                  <bgColor rgb="FFFFFF00"/>
                </patternFill>
              </fill>
            </x14:dxf>
          </x14:cfRule>
          <x14:cfRule type="cellIs" priority="12" operator="equal" id="{DC685DC2-8B14-4BF2-AA7D-DF0FC27B4899}">
            <xm:f>'GW vulnerability algorithm'!$D$46</xm:f>
            <x14:dxf>
              <font>
                <b/>
                <i val="0"/>
                <color theme="0"/>
              </font>
              <fill>
                <patternFill>
                  <bgColor theme="9" tint="-0.499984740745262"/>
                </patternFill>
              </fill>
            </x14:dxf>
          </x14:cfRule>
          <x14:cfRule type="containsText" priority="13" operator="containsText" id="{C611D376-F0AD-4B8C-9E02-4062E9CE2842}">
            <xm:f>NOT(ISERROR(SEARCH('GW vulnerability algorithm'!$D$45,G38)))</xm:f>
            <xm:f>'GW vulnerability algorithm'!$D$45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G38</xm:sqref>
        </x14:conditionalFormatting>
        <x14:conditionalFormatting xmlns:xm="http://schemas.microsoft.com/office/excel/2006/main">
          <x14:cfRule type="cellIs" priority="3" operator="equal" id="{52A24104-4B14-426C-89F7-9D48E8F9EEBD}">
            <xm:f>'GW vulnerability algorithm'!$D$49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4" operator="equal" id="{8D4502E9-AED9-4EAC-8B08-97D603F343DE}">
            <xm:f>'GW vulnerability algorithm'!$D$48</xm:f>
            <x14:dxf>
              <font>
                <b/>
                <i val="0"/>
                <color theme="1"/>
              </font>
              <fill>
                <patternFill>
                  <bgColor theme="7"/>
                </patternFill>
              </fill>
            </x14:dxf>
          </x14:cfRule>
          <x14:cfRule type="cellIs" priority="5" operator="equal" id="{9682F588-20FE-4222-9D13-24C33EA87EF0}">
            <xm:f>'GW vulnerability algorithm'!$D$47</xm:f>
            <x14:dxf>
              <font>
                <b/>
                <i val="0"/>
                <color theme="1"/>
              </font>
              <fill>
                <patternFill>
                  <bgColor rgb="FFFFFF00"/>
                </patternFill>
              </fill>
            </x14:dxf>
          </x14:cfRule>
          <x14:cfRule type="cellIs" priority="6" operator="equal" id="{21F68574-E8FF-4727-BA72-8B72955D2F5D}">
            <xm:f>'GW vulnerability algorithm'!$D$46</xm:f>
            <x14:dxf>
              <font>
                <b/>
                <i val="0"/>
                <color theme="0"/>
              </font>
              <fill>
                <patternFill>
                  <bgColor theme="9" tint="-0.499984740745262"/>
                </patternFill>
              </fill>
            </x14:dxf>
          </x14:cfRule>
          <x14:cfRule type="containsText" priority="7" operator="containsText" id="{FACFB9E0-AA56-4892-B78B-08A7707485ED}">
            <xm:f>NOT(ISERROR(SEARCH('GW vulnerability algorithm'!$D$45,H38)))</xm:f>
            <xm:f>'GW vulnerability algorithm'!$D$45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H38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data!$A$1:$A$7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32A69-AE06-4CCD-9146-950E0C726916}">
  <sheetPr>
    <pageSetUpPr fitToPage="1"/>
  </sheetPr>
  <dimension ref="A1:X87"/>
  <sheetViews>
    <sheetView showGridLines="0" topLeftCell="A53" zoomScale="85" zoomScaleNormal="85" workbookViewId="0">
      <selection activeCell="G15" sqref="G15"/>
    </sheetView>
  </sheetViews>
  <sheetFormatPr defaultRowHeight="15"/>
  <cols>
    <col min="1" max="1" width="5" style="1" customWidth="1"/>
    <col min="2" max="2" width="59.7109375" style="1" customWidth="1"/>
    <col min="3" max="3" width="30.42578125" style="1" customWidth="1"/>
    <col min="4" max="7" width="25" style="1" customWidth="1"/>
    <col min="8" max="8" width="15" style="1" customWidth="1"/>
    <col min="9" max="10" width="14.42578125" style="1" customWidth="1"/>
    <col min="11" max="11" width="15.28515625" style="1" customWidth="1"/>
    <col min="12" max="12" width="14" style="1" customWidth="1"/>
    <col min="13" max="13" width="11.42578125" style="1" customWidth="1"/>
    <col min="14" max="14" width="11.5703125" style="1" customWidth="1"/>
    <col min="15" max="16384" width="9.140625" style="1"/>
  </cols>
  <sheetData>
    <row r="1" spans="2:24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2:24" ht="31.5" customHeight="1">
      <c r="B2" s="8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2:24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2:24" ht="38.25" customHeight="1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2:24" ht="31.5" customHeight="1">
      <c r="B5" s="84" t="s">
        <v>172</v>
      </c>
      <c r="C5" s="82"/>
      <c r="D5" s="82"/>
      <c r="E5" s="82"/>
      <c r="F5" s="82"/>
      <c r="G5" s="8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2:24" ht="42.75" customHeight="1">
      <c r="B6" s="213" t="s">
        <v>210</v>
      </c>
      <c r="C6" s="214"/>
      <c r="D6" s="214"/>
      <c r="E6" s="214"/>
      <c r="F6" s="214"/>
      <c r="G6" s="214"/>
      <c r="H6" s="43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</row>
    <row r="7" spans="2:24" ht="3.75" customHeight="1">
      <c r="B7" s="83"/>
      <c r="C7" s="83"/>
      <c r="D7" s="83"/>
      <c r="E7" s="83"/>
      <c r="F7" s="83"/>
      <c r="G7" s="83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</row>
    <row r="8" spans="2:24" ht="3.75" customHeight="1">
      <c r="B8" s="91"/>
      <c r="C8" s="91"/>
      <c r="D8" s="91"/>
      <c r="E8" s="91"/>
      <c r="F8" s="91"/>
      <c r="G8" s="91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</row>
    <row r="9" spans="2:24" ht="20.25" customHeight="1" thickBot="1">
      <c r="B9" s="91"/>
      <c r="C9" s="91"/>
      <c r="D9" s="91"/>
      <c r="E9" s="91"/>
      <c r="F9" s="91"/>
      <c r="G9" s="91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8" thickTop="1" thickBot="1">
      <c r="B10" s="42"/>
      <c r="C10" s="92" t="s">
        <v>176</v>
      </c>
      <c r="D10" s="92" t="s">
        <v>177</v>
      </c>
      <c r="E10" s="92" t="s">
        <v>227</v>
      </c>
      <c r="F10" s="195"/>
      <c r="G10" s="195"/>
      <c r="H10" s="195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20.25" thickTop="1" thickBot="1">
      <c r="B11" s="45" t="s">
        <v>158</v>
      </c>
      <c r="C11" s="46" t="s">
        <v>3</v>
      </c>
      <c r="D11" s="46" t="s">
        <v>7</v>
      </c>
      <c r="E11" s="46" t="s">
        <v>4</v>
      </c>
      <c r="F11" s="47">
        <f>VLOOKUP(C11,data!A1:C7,2,FALSE)</f>
        <v>34</v>
      </c>
      <c r="G11" s="47">
        <f>VLOOKUP(C11,data!A1:C7,3,FALSE)</f>
        <v>43</v>
      </c>
      <c r="H11" s="195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30" customHeight="1" thickTop="1" thickBot="1">
      <c r="B12" s="78" t="s">
        <v>164</v>
      </c>
      <c r="C12" s="50" t="s">
        <v>49</v>
      </c>
      <c r="D12" s="50" t="s">
        <v>37</v>
      </c>
      <c r="E12" s="50" t="s">
        <v>44</v>
      </c>
      <c r="F12" s="51" t="str">
        <f>CONCATENATE(ADDRESS(F11,2,,,"main database"),":",ADDRESS(G11,2))</f>
        <v>'main database'!$B$34:$B$43</v>
      </c>
      <c r="G12" s="47" t="s">
        <v>173</v>
      </c>
      <c r="H12" s="195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28.5" customHeight="1" thickTop="1" thickBot="1">
      <c r="B13" s="59" t="s">
        <v>27</v>
      </c>
      <c r="C13" s="52">
        <f>VLOOKUP($C$12,'Main database'!$B$3:$AA$45,2,FALSE)</f>
        <v>71.86</v>
      </c>
      <c r="D13" s="52">
        <f>VLOOKUP($D$12,'Main database'!$B$3:$AA$45,2,FALSE)</f>
        <v>3.3</v>
      </c>
      <c r="E13" s="52">
        <f>VLOOKUP($E$12,'Main database'!$B$3:$AA$45,2,FALSE)</f>
        <v>45.5</v>
      </c>
      <c r="F13" s="47">
        <f>VLOOKUP(D11,data!A1:C7,2,FALSE)</f>
        <v>44</v>
      </c>
      <c r="G13" s="47">
        <f>VLOOKUP(D11,data!A1:C7,3,FALSE)</f>
        <v>45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</row>
    <row r="14" spans="2:24" ht="28.5" customHeight="1" thickTop="1" thickBot="1">
      <c r="B14" s="59" t="s">
        <v>26</v>
      </c>
      <c r="C14" s="52">
        <f>VLOOKUP($C$12,'Main database'!$B$3:$AA$45,3,FALSE)</f>
        <v>2.9400000000000004</v>
      </c>
      <c r="D14" s="52">
        <f>VLOOKUP($D$12,'Main database'!$B$3:$AA$45,3,FALSE)</f>
        <v>1</v>
      </c>
      <c r="E14" s="52">
        <f>VLOOKUP($E$12,'Main database'!$B$3:$AA$45,3,FALSE)</f>
        <v>0</v>
      </c>
      <c r="F14" s="47" t="str">
        <f>CONCATENATE(ADDRESS(F13,2,,,"main database"),":",ADDRESS(G13,2))</f>
        <v>'main database'!$B$44:$B$45</v>
      </c>
      <c r="G14" s="47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</row>
    <row r="15" spans="2:24" ht="28.5" customHeight="1" thickTop="1" thickBot="1">
      <c r="B15" s="59" t="s">
        <v>175</v>
      </c>
      <c r="C15" s="52">
        <f>VLOOKUP($C$12,'Main database'!$B$3:$AA$45,21,FALSE)</f>
        <v>6</v>
      </c>
      <c r="D15" s="52">
        <f>VLOOKUP($D$12,'Main database'!$B$3:$AA$45,21,FALSE)</f>
        <v>11</v>
      </c>
      <c r="E15" s="52">
        <f>VLOOKUP($E$12,'Main database'!$B$3:$AA$45,21,FALSE)</f>
        <v>16</v>
      </c>
      <c r="F15" s="47">
        <f>VLOOKUP(E11,data!A1:C7,2,FALSE)</f>
        <v>3</v>
      </c>
      <c r="G15" s="47">
        <f>VLOOKUP(E11,data!A1:C7,3,FALSE)</f>
        <v>7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</row>
    <row r="16" spans="2:24" ht="28.5" customHeight="1" thickTop="1" thickBot="1">
      <c r="B16" s="59" t="s">
        <v>70</v>
      </c>
      <c r="C16" s="55">
        <f>VLOOKUP($C$12,'Main database'!$B$3:$AA$45,4,FALSE)</f>
        <v>5502</v>
      </c>
      <c r="D16" s="55">
        <f>VLOOKUP($D$12,'Main database'!$B$3:$AA$45,4,FALSE)</f>
        <v>3462</v>
      </c>
      <c r="E16" s="55">
        <f>VLOOKUP($E$12,'Main database'!$B$3:$AA$45,4,FALSE)</f>
        <v>2919</v>
      </c>
      <c r="F16" s="47" t="str">
        <f>CONCATENATE(ADDRESS(F15,2,,,"main database"),":",ADDRESS(G15,2))</f>
        <v>'main database'!$B$3:$B$7</v>
      </c>
      <c r="G16" s="47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</row>
    <row r="17" spans="1:24" ht="28.5" customHeight="1" thickTop="1" thickBot="1">
      <c r="B17" s="59" t="s">
        <v>157</v>
      </c>
      <c r="C17" s="55">
        <f>VLOOKUP($C$12,'Main database'!$B$3:$AA$45,20,FALSE)</f>
        <v>326</v>
      </c>
      <c r="D17" s="55">
        <f>VLOOKUP($D$12,'Main database'!$B$3:$AA$45,20,FALSE)</f>
        <v>393</v>
      </c>
      <c r="E17" s="55">
        <f>VLOOKUP($E$12,'Main database'!$B$3:$AA$45,20,FALSE)</f>
        <v>476</v>
      </c>
      <c r="F17" s="48"/>
      <c r="G17" s="48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</row>
    <row r="18" spans="1:24" ht="28.5" customHeight="1" thickTop="1" thickBot="1">
      <c r="B18" s="59" t="s">
        <v>155</v>
      </c>
      <c r="C18" s="55">
        <f>IF(ISERROR(VLOOKUP($C$12,'Main database'!$B$3:$AAT$45,5,FALSE)),"NoData",VLOOKUP($C$12,'Main database'!$B$3:$AA$45,5,FALSE))</f>
        <v>489</v>
      </c>
      <c r="D18" s="55">
        <f>IF(ISERROR(VLOOKUP($D$12,'Main database'!$B$3:$AAT$45,5,FALSE)),"NoData",VLOOKUP($D$12,'Main database'!$B$3:$AA$45,5,FALSE))</f>
        <v>0</v>
      </c>
      <c r="E18" s="55">
        <f>IF(ISERROR(VLOOKUP($E$12,'Main database'!$B$3:$AAT$45,5,FALSE)),"NoData",VLOOKUP($E$12,'Main database'!$B$3:$AA$45,5,FALSE))</f>
        <v>0</v>
      </c>
      <c r="F18" s="48"/>
      <c r="G18" s="48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</row>
    <row r="19" spans="1:24" ht="28.5" customHeight="1" thickTop="1" thickBot="1">
      <c r="B19" s="59" t="s">
        <v>156</v>
      </c>
      <c r="C19" s="55">
        <f>IF(ISERROR(C17+C18),"NoData",C17+C18)</f>
        <v>815</v>
      </c>
      <c r="D19" s="55">
        <f>IF(ISERROR(D17+D18),"NoData",D17+D18)</f>
        <v>393</v>
      </c>
      <c r="E19" s="55">
        <f>IF(ISERROR(E17+E18),"NoData",E17+E18)</f>
        <v>476</v>
      </c>
      <c r="F19" s="48"/>
      <c r="G19" s="48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</row>
    <row r="20" spans="1:24" ht="17.25" thickTop="1">
      <c r="B20" s="54"/>
      <c r="C20" s="56"/>
      <c r="D20" s="54"/>
      <c r="E20" s="49"/>
      <c r="F20" s="49"/>
      <c r="G20" s="49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</row>
    <row r="21" spans="1:24" ht="16.5">
      <c r="B21" s="54"/>
      <c r="C21" s="54"/>
      <c r="D21" s="54"/>
      <c r="E21" s="54"/>
      <c r="F21" s="54"/>
      <c r="G21" s="54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</row>
    <row r="22" spans="1:24" ht="28.5" thickBot="1">
      <c r="A22" s="117"/>
      <c r="B22" s="215" t="str">
        <f>_xlfn.CONCAT("Main indicators - ",C12)</f>
        <v>Main indicators - Niemcza</v>
      </c>
      <c r="C22" s="215"/>
      <c r="D22" s="215"/>
      <c r="E22" s="215"/>
      <c r="F22" s="215"/>
      <c r="G22" s="215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</row>
    <row r="23" spans="1:24" ht="28.5" thickTop="1">
      <c r="A23" s="117"/>
      <c r="B23" s="128"/>
      <c r="C23" s="212" t="s">
        <v>1</v>
      </c>
      <c r="D23" s="212"/>
      <c r="E23" s="212"/>
      <c r="F23" s="212"/>
      <c r="G23" s="21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</row>
    <row r="24" spans="1:24" ht="107.25" customHeight="1" thickBot="1">
      <c r="B24" s="77" t="s">
        <v>207</v>
      </c>
      <c r="C24" s="77" t="s">
        <v>167</v>
      </c>
      <c r="D24" s="77" t="s">
        <v>165</v>
      </c>
      <c r="E24" s="77" t="s">
        <v>174</v>
      </c>
      <c r="F24" s="77" t="s">
        <v>166</v>
      </c>
      <c r="G24" s="77" t="s">
        <v>170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</row>
    <row r="25" spans="1:24" ht="27.75" customHeight="1" thickTop="1" thickBot="1">
      <c r="B25" s="79" t="s">
        <v>149</v>
      </c>
      <c r="C25" s="79" t="s">
        <v>168</v>
      </c>
      <c r="D25" s="79" t="s">
        <v>28</v>
      </c>
      <c r="E25" s="79" t="s">
        <v>168</v>
      </c>
      <c r="F25" s="79" t="s">
        <v>169</v>
      </c>
      <c r="G25" s="80" t="s">
        <v>169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</row>
    <row r="26" spans="1:24" ht="33" hidden="1" customHeight="1" thickTop="1" thickBot="1">
      <c r="B26" s="60" t="s">
        <v>0</v>
      </c>
      <c r="C26" s="67">
        <f>IF(ISERROR((C17+C18)/C13),"NoData",(C17+C18)/C13)</f>
        <v>11.341497355969942</v>
      </c>
      <c r="D26" s="67">
        <f>IF(ISERR((C17+C18)/C14),"NoData",(C17+C18)/C14)</f>
        <v>277.21088435374145</v>
      </c>
      <c r="E26" s="68">
        <f>IF(ISERROR((C18+C17)/VLOOKUP($C$12,'Main database'!$B$3:$AA$45,23,FALSE)),"NoData",(C18+C17)/VLOOKUP($C$12,'Main database'!$B$3:$AA$45,23,FALSE))</f>
        <v>0.80438215554678238</v>
      </c>
      <c r="F26" s="69" t="str">
        <f>IF(VLOOKUP($C$12,'Main database'!$B$3:$AA$45,12,FALSE)="","NoData",VLOOKUP($C$12,'Main database'!$B$3:$AA$45,12,FALSE))</f>
        <v>NoData</v>
      </c>
      <c r="G26" s="70">
        <f>IF(VLOOKUP($C$12,'Main database'!$B$3:$AA$45,7,FALSE)="","NoData",VLOOKUP($C$12,'Main database'!$B$3:$AA$45,7,FALSE))</f>
        <v>375.3</v>
      </c>
      <c r="H26" s="43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</row>
    <row r="27" spans="1:24" ht="33" hidden="1" customHeight="1" thickTop="1" thickBot="1">
      <c r="B27" s="61" t="s">
        <v>2</v>
      </c>
      <c r="C27" s="71">
        <f>IF(C15&lt;10,18,IF(C15&lt;40,58,127))</f>
        <v>18</v>
      </c>
      <c r="D27" s="71">
        <v>500</v>
      </c>
      <c r="E27" s="72">
        <v>25</v>
      </c>
      <c r="F27" s="73" t="str">
        <f>IF(VLOOKUP($C$12,'Main database'!$B$3:$AA$45,13,FALSE)=0,"NoData",VLOOKUP($C$12,'Main database'!$B$3:$AA$45,13,FALSE))</f>
        <v>NoData</v>
      </c>
      <c r="G27" s="74">
        <f>IF(VLOOKUP($C$12,'Main database'!$B$3:$AA$45,8,FALSE)=0,"NoData",VLOOKUP($C$12,'Main database'!$B$3:$AA$45,8,FALSE))</f>
        <v>1800</v>
      </c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</row>
    <row r="28" spans="1:24" ht="33" customHeight="1" thickTop="1" thickBot="1">
      <c r="B28" s="62" t="s">
        <v>25</v>
      </c>
      <c r="C28" s="85">
        <f>IF(ISERROR(C26/C27),"-",IF((C26/C27)&gt;1,"&gt;100%",(C26/C27)))</f>
        <v>0.6300831864427745</v>
      </c>
      <c r="D28" s="85">
        <f>IF(ISERROR(D26/D27),"-",IF((D26/D27)&gt;1,"&gt;100%",(D26/D27)))</f>
        <v>0.55442176870748294</v>
      </c>
      <c r="E28" s="85">
        <f>IF(ISERROR(E26/E27),"-",IF((E26/E27)&gt;1,"&gt;100%",(E26/E27)))</f>
        <v>3.2175286221871296E-2</v>
      </c>
      <c r="F28" s="85" t="str">
        <f>IF(ISERROR(F26/F27),"-",IF((F26/F27)&gt;1,"&gt;100%",(F26/F27)))</f>
        <v>-</v>
      </c>
      <c r="G28" s="75">
        <f>IF(ISERROR(G26/G27),"-",IF((G26/G27)&gt;1,"&gt;100%",(G26/G27)))</f>
        <v>0.20850000000000002</v>
      </c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</row>
    <row r="29" spans="1:24" ht="37.5" customHeight="1" thickTop="1" thickBot="1">
      <c r="B29" s="63" t="s">
        <v>141</v>
      </c>
      <c r="C29" s="58">
        <f>IF(ISERROR(ROUND((C13*C27)-(C17+C18),0)),"NoData",ROUND((C13*C27)-(C17+C18),0))</f>
        <v>478</v>
      </c>
      <c r="D29" s="58">
        <f>IF(C14=0,"NoData",ROUND((C14*D27)-(C17+C18),0))</f>
        <v>655</v>
      </c>
      <c r="E29" s="58">
        <f>IF(E26="NoData","NoData",ROUND((VLOOKUP($C$12,'Main database'!$B$3:$AA$45,23,FALSE)*E27)-(C17+C18),0))</f>
        <v>24515</v>
      </c>
      <c r="F29" s="58" t="str">
        <f>IF(ISERROR(ROUND(F27/(F26/SUM(C16:C18))-SUM(C16:C18),0)),"NoData",ROUND(F27/(F26/SUM(C16:C18))-SUM(C16:C18),0))</f>
        <v>NoData</v>
      </c>
      <c r="G29" s="58">
        <f>IF(ISERROR(ROUND(G27/(G26/SUM(C16:C18))-SUM(C16:C18),0)),"NoData",ROUND(G27/(G26/SUM(C16:C18))-SUM(C16:C18),0))</f>
        <v>23980</v>
      </c>
      <c r="H29" s="44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</row>
    <row r="30" spans="1:24" ht="18" hidden="1" thickTop="1" thickBot="1">
      <c r="B30" s="64"/>
      <c r="C30" s="57"/>
      <c r="D30" s="49"/>
      <c r="E30" s="54"/>
      <c r="F30" s="49"/>
      <c r="G30" s="54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1:24" ht="41.25" hidden="1" customHeight="1" thickTop="1" thickBot="1">
      <c r="B31" s="65" t="s">
        <v>154</v>
      </c>
      <c r="C31" s="58">
        <f>MAX(MIN(C29:G29),0)</f>
        <v>478</v>
      </c>
      <c r="D31" s="54"/>
      <c r="E31" s="49"/>
      <c r="F31" s="49"/>
      <c r="G31" s="49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1:24" ht="18" thickTop="1" thickBot="1">
      <c r="B32" s="57"/>
      <c r="C32" s="106">
        <f>IF(ISERROR(C26/C27),"-",IF((C26/C27)&gt;1,1.08,(C26/C27)))</f>
        <v>0.6300831864427745</v>
      </c>
      <c r="D32" s="47">
        <f>IF(ISERROR(D26/D27),"-",IF((D26/D27)&gt;1,1.08,(D26/D27)))</f>
        <v>0.55442176870748294</v>
      </c>
      <c r="E32" s="47">
        <f>IF(ISERROR(E26/E27),"-",IF((E26/E27)&gt;1,1.08,(E26/E27)))</f>
        <v>3.2175286221871296E-2</v>
      </c>
      <c r="F32" s="47" t="str">
        <f>IF(ISERROR(F26/F27),"-",IF((F26/F27)&gt;1,1.08,(F26/F27)))</f>
        <v>-</v>
      </c>
      <c r="G32" s="47">
        <f>IF(ISERROR(G26/G27),"-",IF((G26/G27)&gt;1,1.08,(G26/G27)))</f>
        <v>0.20850000000000002</v>
      </c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1:24" ht="18" thickTop="1" thickBot="1">
      <c r="B33" s="93"/>
      <c r="C33" s="105">
        <f>IF(C29&lt;0,0,C29)</f>
        <v>478</v>
      </c>
      <c r="D33" s="105">
        <f t="shared" ref="D33:G33" si="0">IF(D29&lt;0,0,D29)</f>
        <v>655</v>
      </c>
      <c r="E33" s="105">
        <f t="shared" si="0"/>
        <v>24515</v>
      </c>
      <c r="F33" s="105" t="str">
        <f t="shared" si="0"/>
        <v>NoData</v>
      </c>
      <c r="G33" s="105">
        <f t="shared" si="0"/>
        <v>23980</v>
      </c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1:24" ht="29.25" thickTop="1" thickBot="1">
      <c r="A34" s="117"/>
      <c r="B34" s="215" t="str">
        <f>_xlfn.CONCAT("Main indicators - ",D12)</f>
        <v>Main indicators - Šmarješke Toplice</v>
      </c>
      <c r="C34" s="215"/>
      <c r="D34" s="215"/>
      <c r="E34" s="215"/>
      <c r="F34" s="215"/>
      <c r="G34" s="215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1:24" ht="28.5" thickTop="1">
      <c r="A35" s="117"/>
      <c r="B35" s="128"/>
      <c r="C35" s="212" t="s">
        <v>1</v>
      </c>
      <c r="D35" s="212"/>
      <c r="E35" s="212"/>
      <c r="F35" s="212"/>
      <c r="G35" s="21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ht="114.75" customHeight="1" thickBot="1">
      <c r="B36" s="77" t="s">
        <v>207</v>
      </c>
      <c r="C36" s="76" t="s">
        <v>167</v>
      </c>
      <c r="D36" s="77" t="s">
        <v>165</v>
      </c>
      <c r="E36" s="77" t="s">
        <v>174</v>
      </c>
      <c r="F36" s="77" t="s">
        <v>166</v>
      </c>
      <c r="G36" s="77" t="s">
        <v>170</v>
      </c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1:24" ht="27.75" customHeight="1" thickTop="1" thickBot="1">
      <c r="B37" s="79" t="s">
        <v>149</v>
      </c>
      <c r="C37" s="79" t="s">
        <v>168</v>
      </c>
      <c r="D37" s="79" t="s">
        <v>28</v>
      </c>
      <c r="E37" s="79" t="s">
        <v>168</v>
      </c>
      <c r="F37" s="79" t="s">
        <v>169</v>
      </c>
      <c r="G37" s="80" t="s">
        <v>169</v>
      </c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1:24" ht="33" hidden="1" customHeight="1" thickTop="1" thickBot="1">
      <c r="B38" s="60" t="s">
        <v>0</v>
      </c>
      <c r="C38" s="67">
        <f>IF(ISERROR((D17+D18)/D13),"NoData",(D17+D18)/D13)</f>
        <v>119.09090909090909</v>
      </c>
      <c r="D38" s="67">
        <f>IF(ISERR((D17+D18)/D14),"NoData",(D17+D18)/D14)</f>
        <v>393</v>
      </c>
      <c r="E38" s="68">
        <f>IF(ISERROR((D18+D17)/VLOOKUP($D$12,'Main database'!$B$3:$AA$45,23,FALSE)),"NoData",(D18+D17)/VLOOKUP($D$12,'Main database'!$B$3:$AA$45,23,FALSE))</f>
        <v>1310</v>
      </c>
      <c r="F38" s="69">
        <f>IF(VLOOKUP($D$12,'Main database'!$B$3:$AA$45,12,FALSE)="","NoData",VLOOKUP($D$12,'Main database'!$B$3:$AA$45,12,FALSE))</f>
        <v>166.66702821423695</v>
      </c>
      <c r="G38" s="70">
        <f>IF(VLOOKUP($D$12,'Main database'!$B$3:$AA$45,7,FALSE)="","NoData",VLOOKUP($D$12,'Main database'!$B$3:$AA$45,7,FALSE))</f>
        <v>471.73700000000002</v>
      </c>
      <c r="H38" s="43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1:24" ht="33" hidden="1" customHeight="1" thickTop="1" thickBot="1">
      <c r="B39" s="61" t="s">
        <v>2</v>
      </c>
      <c r="C39" s="71">
        <f>IF(D15&lt;10,18,IF(D15&lt;40,58,127))</f>
        <v>58</v>
      </c>
      <c r="D39" s="71">
        <v>500</v>
      </c>
      <c r="E39" s="72">
        <v>25</v>
      </c>
      <c r="F39" s="73">
        <f>IF(VLOOKUP($D$12,'Main database'!$B$3:$AA$45,13,FALSE)=0,"NoData",VLOOKUP($D$12,'Main database'!$B$3:$AA$45,13,FALSE))</f>
        <v>1369.86</v>
      </c>
      <c r="G39" s="74">
        <f>IF(VLOOKUP($D$12,'Main database'!$B$3:$AA$45,8,FALSE)=0,"NoData",VLOOKUP($D$12,'Main database'!$B$3:$AA$45,8,FALSE))</f>
        <v>3750</v>
      </c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1:24" ht="33" customHeight="1" thickTop="1" thickBot="1">
      <c r="B40" s="62" t="s">
        <v>25</v>
      </c>
      <c r="C40" s="85" t="str">
        <f>IF(ISERROR(C38/C39),"-",IF((C38/C39)&gt;1,"&gt;100%",(C38/C39)))</f>
        <v>&gt;100%</v>
      </c>
      <c r="D40" s="85">
        <f>IF(ISERROR(D38/D39),"-",IF((D38/D39)&gt;1,"&gt;100%",(D38/D39)))</f>
        <v>0.78600000000000003</v>
      </c>
      <c r="E40" s="85" t="str">
        <f>IF(ISERROR(E38/E39),"-",IF((E38/E39)&gt;1,"&gt;100%",(E38/E39)))</f>
        <v>&gt;100%</v>
      </c>
      <c r="F40" s="85">
        <f>IF(ISERROR(F38/F39),"-",IF((F38/F39)&gt;1,"&gt;100%",(F38/F39)))</f>
        <v>0.12166719826422917</v>
      </c>
      <c r="G40" s="75">
        <f>IF(ISERROR(G38/G39),"-",IF((G38/G39)&gt;1,"&gt;100%",(G38/G39)))</f>
        <v>0.12579653333333335</v>
      </c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1:24" ht="37.5" customHeight="1" thickTop="1" thickBot="1">
      <c r="B41" s="63" t="s">
        <v>141</v>
      </c>
      <c r="C41" s="58">
        <f>IF(ISERROR(ROUND((D13*C39)-(D17+D18),0)),"NoData",ROUND((D13*C39)-(D17+D18),0))</f>
        <v>-202</v>
      </c>
      <c r="D41" s="58">
        <f>IF(D14=0,"NoData",ROUND((D14*D39)-(D17+D18),0))</f>
        <v>107</v>
      </c>
      <c r="E41" s="58">
        <f>IF(E38="NoData","NoData",ROUND((VLOOKUP($D$12,'Main database'!$B$3:$AA$45,23,FALSE)*E39)-(D17+D18),0))</f>
        <v>-386</v>
      </c>
      <c r="F41" s="58">
        <f>IF(ISERROR(ROUND(F39/(F38/SUM(D16:D18))-SUM(D16:D18),0)),"NoData",ROUND(F39/(F38/SUM(D16:D18))-SUM(D16:D18),0))</f>
        <v>27830</v>
      </c>
      <c r="G41" s="58">
        <f>IF(ISERROR(ROUND(G39/(G38/SUM(D16:D18))-SUM(D16:D18),0)),"NoData",ROUND(G39/(G38/SUM(D16:D18))-SUM(D16:D18),0))</f>
        <v>26790</v>
      </c>
      <c r="H41" s="44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1:24" ht="18" hidden="1" thickTop="1" thickBot="1">
      <c r="B42" s="64"/>
      <c r="C42" s="57"/>
      <c r="D42" s="49"/>
      <c r="E42" s="54"/>
      <c r="F42" s="49"/>
      <c r="G42" s="54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1:24" ht="41.25" hidden="1" customHeight="1" thickTop="1" thickBot="1">
      <c r="B43" s="65" t="s">
        <v>154</v>
      </c>
      <c r="C43" s="58">
        <f>MAX(MIN(C41:G41),0)</f>
        <v>0</v>
      </c>
      <c r="D43" s="54"/>
      <c r="E43" s="49"/>
      <c r="F43" s="49"/>
      <c r="G43" s="49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1:24" ht="21.75" thickTop="1">
      <c r="B44" s="94"/>
      <c r="C44" s="94">
        <f>IF(ISERROR(C38/C39),"-",IF((C38/C39)&gt;1,1.08,(C38/C39)))</f>
        <v>1.08</v>
      </c>
      <c r="D44" s="94">
        <f>IF(ISERROR(D38/D39),"-",IF((D38/D39)&gt;1,1.08,(D38/D39)))</f>
        <v>0.78600000000000003</v>
      </c>
      <c r="E44" s="94">
        <f>IF(ISERROR(E38/E39),"-",IF((E38/E39)&gt;1,1.08,(E38/E39)))</f>
        <v>1.08</v>
      </c>
      <c r="F44" s="94">
        <f>IF(ISERROR(F38/F39),"-",IF((F38/F39)&gt;1,1.08,(F38/F39)))</f>
        <v>0.12166719826422917</v>
      </c>
      <c r="G44" s="94">
        <f>IF(ISERROR(G38/G39),"-",IF((G38/G39)&gt;1,1.08,(G38/G39)))</f>
        <v>0.12579653333333335</v>
      </c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1:24" ht="21">
      <c r="B45" s="95"/>
      <c r="C45" s="95"/>
      <c r="D45" s="95"/>
      <c r="E45" s="95"/>
      <c r="F45" s="95"/>
      <c r="G45" s="95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1:24" ht="28.5" thickBot="1">
      <c r="B46" s="215" t="str">
        <f>_xlfn.CONCAT("Main indicators - ",E12)</f>
        <v>Main indicators - Bad Zell</v>
      </c>
      <c r="C46" s="215"/>
      <c r="D46" s="215"/>
      <c r="E46" s="215"/>
      <c r="F46" s="215"/>
      <c r="G46" s="215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1:24" ht="59.25" hidden="1" customHeight="1" thickTop="1" thickBot="1">
      <c r="B47" s="76" t="s">
        <v>1</v>
      </c>
      <c r="C47" s="76" t="s">
        <v>144</v>
      </c>
      <c r="D47" s="76" t="s">
        <v>145</v>
      </c>
      <c r="E47" s="76" t="s">
        <v>146</v>
      </c>
      <c r="F47" s="76" t="s">
        <v>150</v>
      </c>
      <c r="G47" s="77" t="s">
        <v>171</v>
      </c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  <row r="48" spans="1:24" ht="25.5" hidden="1" customHeight="1" thickTop="1" thickBot="1">
      <c r="B48" s="96" t="s">
        <v>149</v>
      </c>
      <c r="C48" s="96" t="s">
        <v>178</v>
      </c>
      <c r="D48" s="96" t="s">
        <v>85</v>
      </c>
      <c r="E48" s="96" t="s">
        <v>148</v>
      </c>
      <c r="F48" s="96" t="s">
        <v>29</v>
      </c>
      <c r="G48" s="97" t="s">
        <v>137</v>
      </c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</row>
    <row r="49" spans="2:24" ht="27.75" hidden="1" customHeight="1" thickTop="1" thickBot="1">
      <c r="B49" s="98" t="s">
        <v>0</v>
      </c>
      <c r="C49" s="99">
        <f>IF(VLOOKUP($C$12,'Main database'!$B$3:$AA$45,10,FALSE)="","NoData",VLOOKUP($C$12,'Main database'!$B$3:$AA$45,10,FALSE))</f>
        <v>554</v>
      </c>
      <c r="D49" s="99">
        <f>IF(VLOOKUP($C$12,'Main database'!$B$3:$AA$45,15,FALSE)="","NoData",VLOOKUP($C$12,'Main database'!$B$3:$AA$45,15,FALSE))</f>
        <v>2301.14</v>
      </c>
      <c r="E49" s="99">
        <f>IF(VLOOKUP($C$12,'Main database'!$B$3:$AA$45,17,FALSE)="","NoData",VLOOKUP($C$12,'Main database'!$B$3:$AA$45,17,FALSE))</f>
        <v>2014.96</v>
      </c>
      <c r="F49" s="99">
        <f>IF(VLOOKUP($C$12,'Main database'!$B$3:$AA$45,19,FALSE)="","NoData",VLOOKUP($C$12,'Main database'!$B$3:$AA$45,19,FALSE))</f>
        <v>5405230.5066079292</v>
      </c>
      <c r="G49" s="100" t="str">
        <f>'GW vulnerability algorithm'!L38</f>
        <v>moderate risk</v>
      </c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</row>
    <row r="50" spans="2:24" ht="63.75" hidden="1" customHeight="1" thickTop="1" thickBot="1">
      <c r="B50" s="101" t="s">
        <v>179</v>
      </c>
      <c r="C50" s="102">
        <f>IF(ISERROR(C49/(SUM($C$16:$C$18)*$C$31)+C49),"NoData",(C49/SUM($C$16:$C$18)*$C$31)+C49)</f>
        <v>595.9205318980529</v>
      </c>
      <c r="D50" s="102">
        <f>IF(ISERROR(D49/(SUM($C$16:$C$18)*$C$31)+D49),"NoData",D49/SUM($C$16:$C$18)*$C$31+D49)</f>
        <v>2475.2645717904065</v>
      </c>
      <c r="E50" s="102">
        <f>IF(ISERROR(E49/(SUM($C$16:$C$18)*$C$31)+E49),"NoData",E49/SUM($C$16:$C$18)*$C$31+E49)</f>
        <v>2167.4296659806869</v>
      </c>
      <c r="F50" s="102">
        <f>IF(ISERROR(F49/(C19*$C$31)+F49),"NoData",(F49/C19)*$C$31+F49)</f>
        <v>8575414.7791951559</v>
      </c>
      <c r="G50" s="103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</row>
    <row r="51" spans="2:24" ht="27.75" customHeight="1" thickTop="1">
      <c r="B51" s="104"/>
      <c r="C51" s="212" t="s">
        <v>1</v>
      </c>
      <c r="D51" s="212"/>
      <c r="E51" s="212"/>
      <c r="F51" s="212"/>
      <c r="G51" s="21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</row>
    <row r="52" spans="2:24" ht="114.75" customHeight="1" thickBot="1">
      <c r="B52" s="77" t="s">
        <v>207</v>
      </c>
      <c r="C52" s="76" t="s">
        <v>167</v>
      </c>
      <c r="D52" s="77" t="s">
        <v>165</v>
      </c>
      <c r="E52" s="77" t="s">
        <v>174</v>
      </c>
      <c r="F52" s="77" t="s">
        <v>166</v>
      </c>
      <c r="G52" s="77" t="s">
        <v>170</v>
      </c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</row>
    <row r="53" spans="2:24" ht="27.75" customHeight="1" thickTop="1" thickBot="1">
      <c r="B53" s="79" t="s">
        <v>149</v>
      </c>
      <c r="C53" s="79" t="s">
        <v>168</v>
      </c>
      <c r="D53" s="79" t="s">
        <v>28</v>
      </c>
      <c r="E53" s="79" t="s">
        <v>168</v>
      </c>
      <c r="F53" s="79" t="s">
        <v>169</v>
      </c>
      <c r="G53" s="80" t="s">
        <v>169</v>
      </c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</row>
    <row r="54" spans="2:24" ht="33" hidden="1" customHeight="1" thickTop="1" thickBot="1">
      <c r="B54" s="60" t="s">
        <v>0</v>
      </c>
      <c r="C54" s="67">
        <f>IF(ISERROR((E17+E18)/E13),"NoData",(E17+E18)/E13)</f>
        <v>10.461538461538462</v>
      </c>
      <c r="D54" s="67" t="str">
        <f>IF(ISERR((E17+E18)/E14),"NoData",(E17+E18)/E14)</f>
        <v>NoData</v>
      </c>
      <c r="E54" s="68">
        <f>IF(ISERROR((E18+E17)/VLOOKUP($E$12,'Main database'!$B$3:$AA$45,23,FALSE)),"NoData",(E18+E17)/VLOOKUP($E$12,'Main database'!$B$3:$AA$45,23,FALSE))</f>
        <v>1.6218057921635434</v>
      </c>
      <c r="F54" s="69">
        <f>IF(VLOOKUP($E$12,'Main database'!$B$3:$AA$45,12,FALSE)="","NoData",VLOOKUP($E$12,'Main database'!$B$3:$AA$45,12,FALSE))</f>
        <v>24</v>
      </c>
      <c r="G54" s="70" t="str">
        <f>IF(VLOOKUP($E$12,'Main database'!$B$3:$AA$45,7,FALSE)="","NoData",VLOOKUP($E$12,'Main database'!$B$3:$AA$45,7,FALSE))</f>
        <v>NoData</v>
      </c>
      <c r="H54" s="43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</row>
    <row r="55" spans="2:24" ht="33" hidden="1" customHeight="1" thickTop="1" thickBot="1">
      <c r="B55" s="61" t="s">
        <v>2</v>
      </c>
      <c r="C55" s="71">
        <f>IF(E15&lt;10,18,IF(E15&lt;40,58,127))</f>
        <v>58</v>
      </c>
      <c r="D55" s="71">
        <v>500</v>
      </c>
      <c r="E55" s="72">
        <v>25</v>
      </c>
      <c r="F55" s="73">
        <f>IF(VLOOKUP($E$12,'Main database'!$B$3:$AA$45,13,FALSE)=0,"NoData",VLOOKUP($E$12,'Main database'!$B$3:$AA$45,13,FALSE))</f>
        <v>31.200000000000003</v>
      </c>
      <c r="G55" s="74" t="str">
        <f>IF(VLOOKUP($E$12,'Main database'!$B$3:$AA$45,8,FALSE)=0,"NoData",VLOOKUP($E$12,'Main database'!$B$3:$AA$45,8,FALSE))</f>
        <v>NoData</v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</row>
    <row r="56" spans="2:24" ht="33" customHeight="1" thickTop="1" thickBot="1">
      <c r="B56" s="62" t="s">
        <v>25</v>
      </c>
      <c r="C56" s="85">
        <f>IF(ISERROR(C54/C55),"-",IF((C54/C55)&gt;1,"&gt;100%",(C54/C55)))</f>
        <v>0.18037135278514588</v>
      </c>
      <c r="D56" s="85" t="str">
        <f>IF(ISERROR(D54/D55),"-",IF((D54/D55)&gt;1,"&gt;100%",(D54/D55)))</f>
        <v>-</v>
      </c>
      <c r="E56" s="85">
        <f>IF(ISERROR(E54/E55),"-",IF((E54/E55)&gt;1,"&gt;100%",(E54/E55)))</f>
        <v>6.4872231686541729E-2</v>
      </c>
      <c r="F56" s="85">
        <f>IF(ISERROR(F54/F55),"-",IF((F54/F55)&gt;1,"&gt;100%",(F54/F55)))</f>
        <v>0.76923076923076916</v>
      </c>
      <c r="G56" s="75" t="str">
        <f>IF(ISERROR(G54/G55),"-",IF((G54/G55)&gt;1,"&gt;100%",(G54/G55)))</f>
        <v>-</v>
      </c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</row>
    <row r="57" spans="2:24" ht="37.5" customHeight="1" thickTop="1" thickBot="1">
      <c r="B57" s="63" t="s">
        <v>141</v>
      </c>
      <c r="C57" s="58">
        <f>IF(ISERROR(ROUND((E13*C39)-(E17+E18),0)),"NoData",ROUND((E13*C39)-(E17+E18),0))</f>
        <v>2163</v>
      </c>
      <c r="D57" s="58" t="str">
        <f>IF(E14=0,"NoData",ROUND((E14*D55)-(E17+E18),0))</f>
        <v>NoData</v>
      </c>
      <c r="E57" s="58">
        <f>IF(E54="NoData","NoData",ROUND((VLOOKUP($E$12,'Main database'!$B$3:$AA$45,23,FALSE)*E55)-(E17+E18),0))</f>
        <v>6862</v>
      </c>
      <c r="F57" s="58">
        <f>IF(ISERROR(ROUND(F55/(F54/SUM(E16:E18))-SUM(E16:E18),0)),"NoData",ROUND(F55/(F54/SUM(E16:E18))-SUM(E16:E18),0))</f>
        <v>1019</v>
      </c>
      <c r="G57" s="58" t="str">
        <f>IF(ISERROR(ROUND(G55/(G54/SUM(E16:E18))-SUM(E16:E18),0)),"NoData",ROUND(G55/(G54/SUM(E16:E18))-SUM(E16:E18),0))</f>
        <v>NoData</v>
      </c>
      <c r="H57" s="44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</row>
    <row r="58" spans="2:24" ht="18" hidden="1" thickTop="1" thickBot="1">
      <c r="B58" s="64"/>
      <c r="C58" s="57"/>
      <c r="D58" s="49"/>
      <c r="E58" s="54"/>
      <c r="F58" s="49"/>
      <c r="G58" s="54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</row>
    <row r="59" spans="2:24" ht="41.25" hidden="1" customHeight="1" thickTop="1" thickBot="1">
      <c r="B59" s="65" t="s">
        <v>154</v>
      </c>
      <c r="C59" s="58">
        <f>MAX(MIN(C57:G57),0)</f>
        <v>1019</v>
      </c>
      <c r="D59" s="54"/>
      <c r="E59" s="49"/>
      <c r="F59" s="49"/>
      <c r="G59" s="49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</row>
    <row r="60" spans="2:24" ht="21.75" thickTop="1">
      <c r="B60" s="94"/>
      <c r="C60" s="94">
        <f>IF(ISERROR(C54/C55),"-",IF((C54/C55)&gt;1,1.08,(C54/C55)))</f>
        <v>0.18037135278514588</v>
      </c>
      <c r="D60" s="94" t="str">
        <f>IF(ISERROR(D54/D55),"-",IF((D54/D55)&gt;1,1.08,(D54/D55)))</f>
        <v>-</v>
      </c>
      <c r="E60" s="94">
        <f>IF(ISERROR(E54/E55),"-",IF((E54/E55)&gt;1,1.08,(E54/E55)))</f>
        <v>6.4872231686541729E-2</v>
      </c>
      <c r="F60" s="94">
        <f>IF(ISERROR(F54/F55),"-",IF((F54/F55)&gt;1,1.08,(F54/F55)))</f>
        <v>0.76923076923076916</v>
      </c>
      <c r="G60" s="94" t="str">
        <f>IF(ISERROR(G54/G55),"-",IF((G54/G55)&gt;1,1.08,(G54/G55)))</f>
        <v>-</v>
      </c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</row>
    <row r="61" spans="2:24" ht="21" hidden="1">
      <c r="B61" s="95"/>
      <c r="C61" s="95"/>
      <c r="D61" s="95"/>
      <c r="E61" s="95"/>
      <c r="F61" s="95"/>
      <c r="G61" s="95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</row>
    <row r="62" spans="2:24" ht="28.5" hidden="1" thickBot="1">
      <c r="B62" s="210" t="s">
        <v>142</v>
      </c>
      <c r="C62" s="211"/>
      <c r="D62" s="211"/>
      <c r="E62" s="211"/>
      <c r="F62" s="211"/>
      <c r="G62" s="211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</row>
    <row r="63" spans="2:24" ht="59.25" hidden="1" customHeight="1" thickTop="1" thickBot="1">
      <c r="B63" s="76" t="s">
        <v>1</v>
      </c>
      <c r="C63" s="76" t="s">
        <v>144</v>
      </c>
      <c r="D63" s="76" t="s">
        <v>145</v>
      </c>
      <c r="E63" s="76" t="s">
        <v>146</v>
      </c>
      <c r="F63" s="76" t="s">
        <v>150</v>
      </c>
      <c r="G63" s="77" t="s">
        <v>171</v>
      </c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</row>
    <row r="64" spans="2:24" ht="25.5" hidden="1" customHeight="1" thickTop="1" thickBot="1">
      <c r="B64" s="96" t="s">
        <v>149</v>
      </c>
      <c r="C64" s="96" t="s">
        <v>178</v>
      </c>
      <c r="D64" s="96" t="s">
        <v>85</v>
      </c>
      <c r="E64" s="96" t="s">
        <v>148</v>
      </c>
      <c r="F64" s="96" t="s">
        <v>29</v>
      </c>
      <c r="G64" s="97" t="s">
        <v>137</v>
      </c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</row>
    <row r="65" spans="2:24" ht="27.75" hidden="1" customHeight="1" thickTop="1" thickBot="1">
      <c r="B65" s="98" t="s">
        <v>0</v>
      </c>
      <c r="C65" s="99">
        <f>IF(VLOOKUP($C$12,'Main database'!$B$3:$AA$45,10,FALSE)="","NoData",VLOOKUP($C$12,'Main database'!$B$3:$AA$45,10,FALSE))</f>
        <v>554</v>
      </c>
      <c r="D65" s="99">
        <f>IF(VLOOKUP($C$12,'Main database'!$B$3:$AA$45,15,FALSE)="","NoData",VLOOKUP($C$12,'Main database'!$B$3:$AA$45,15,FALSE))</f>
        <v>2301.14</v>
      </c>
      <c r="E65" s="99">
        <f>IF(VLOOKUP($C$12,'Main database'!$B$3:$AA$45,17,FALSE)="","NoData",VLOOKUP($C$12,'Main database'!$B$3:$AA$45,17,FALSE))</f>
        <v>2014.96</v>
      </c>
      <c r="F65" s="99">
        <f>IF(VLOOKUP($C$12,'Main database'!$B$3:$AA$45,19,FALSE)="","NoData",VLOOKUP($C$12,'Main database'!$B$3:$AA$45,19,FALSE))</f>
        <v>5405230.5066079292</v>
      </c>
      <c r="G65" s="100">
        <f>'GW vulnerability algorithm'!L54</f>
        <v>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</row>
    <row r="66" spans="2:24" ht="63.75" hidden="1" customHeight="1" thickTop="1" thickBot="1">
      <c r="B66" s="101" t="s">
        <v>179</v>
      </c>
      <c r="C66" s="102">
        <f>IF(ISERROR(C65/(SUM($C$16:$C$18)*$C$31)+C65),"NoData",(C65/SUM($C$16:$C$18)*$C$31)+C65)</f>
        <v>595.9205318980529</v>
      </c>
      <c r="D66" s="102">
        <f>IF(ISERROR(D65/(SUM($C$16:$C$18)*$C$31)+D65),"NoData",D65/SUM($C$16:$C$18)*$C$31+D65)</f>
        <v>2475.2645717904065</v>
      </c>
      <c r="E66" s="102">
        <f>IF(ISERROR(E65/(SUM($C$16:$C$18)*$C$31)+E65),"NoData",E65/SUM($C$16:$C$18)*$C$31+E65)</f>
        <v>2167.4296659806869</v>
      </c>
      <c r="F66" s="102" t="str">
        <f>IF(ISERROR(F65/(C35*$C$31)+F65),"NoData",(F65/C35)*$C$31+F65)</f>
        <v>NoData</v>
      </c>
      <c r="G66" s="103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</row>
    <row r="67" spans="2:24" ht="16.5">
      <c r="B67" s="49"/>
      <c r="C67" s="49"/>
      <c r="D67" s="49"/>
      <c r="E67" s="49"/>
      <c r="F67" s="49"/>
      <c r="G67" s="49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</row>
    <row r="68" spans="2:24" ht="16.5">
      <c r="B68" s="49"/>
      <c r="C68" s="49"/>
      <c r="D68" s="49"/>
      <c r="E68" s="49"/>
      <c r="F68" s="49"/>
      <c r="G68" s="49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</row>
    <row r="69" spans="2:24"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</row>
    <row r="70" spans="2:24"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</row>
    <row r="71" spans="2:24"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</row>
    <row r="72" spans="2:24"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</row>
    <row r="73" spans="2:24"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</row>
    <row r="74" spans="2:24"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</row>
    <row r="75" spans="2:24"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</row>
    <row r="76" spans="2:24"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</row>
    <row r="77" spans="2:24"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</row>
    <row r="78" spans="2:24"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</row>
    <row r="79" spans="2:24"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</row>
    <row r="80" spans="2:24"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</row>
    <row r="81" spans="2:24"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</row>
    <row r="82" spans="2:24"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</row>
    <row r="83" spans="2:24"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</row>
    <row r="84" spans="2:24"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</row>
    <row r="85" spans="2:24"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</row>
    <row r="86" spans="2:24"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</row>
    <row r="87" spans="2:24"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</row>
  </sheetData>
  <mergeCells count="8">
    <mergeCell ref="B62:G62"/>
    <mergeCell ref="C51:G51"/>
    <mergeCell ref="B6:G6"/>
    <mergeCell ref="B22:G22"/>
    <mergeCell ref="B46:G46"/>
    <mergeCell ref="B34:G34"/>
    <mergeCell ref="C35:G35"/>
    <mergeCell ref="C23:G23"/>
  </mergeCells>
  <conditionalFormatting sqref="C28:G28">
    <cfRule type="cellIs" dxfId="22" priority="8" operator="equal">
      <formula>"&gt;100%"</formula>
    </cfRule>
  </conditionalFormatting>
  <conditionalFormatting sqref="C40:G40">
    <cfRule type="cellIs" dxfId="21" priority="7" operator="equal">
      <formula>"&gt;100%"</formula>
    </cfRule>
  </conditionalFormatting>
  <conditionalFormatting sqref="C56:G56">
    <cfRule type="cellIs" dxfId="20" priority="1" operator="equal">
      <formula>"&gt;100%"</formula>
    </cfRule>
  </conditionalFormatting>
  <dataValidations count="3">
    <dataValidation type="list" allowBlank="1" showInputMessage="1" showErrorMessage="1" sqref="C12" xr:uid="{EBB85973-9A8E-465A-B710-447D5049A30C}">
      <formula1>INDIRECT(F12)</formula1>
    </dataValidation>
    <dataValidation type="list" allowBlank="1" showInputMessage="1" showErrorMessage="1" sqref="D12" xr:uid="{3FF065B0-0FB8-4BFB-9716-D05D1756A9CC}">
      <formula1>INDIRECT(F14)</formula1>
    </dataValidation>
    <dataValidation type="list" allowBlank="1" showInputMessage="1" showErrorMessage="1" sqref="E12" xr:uid="{81A738B2-59CD-465F-B765-EB620F6B41EA}">
      <formula1>INDIRECT(F16)</formula1>
    </dataValidation>
  </dataValidations>
  <pageMargins left="0.7" right="0.7" top="0.75" bottom="0.75" header="0.3" footer="0.3"/>
  <pageSetup paperSize="9" scale="3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equal" id="{45D7EC5A-A873-430F-BA25-D81D2A139AC1}">
            <xm:f>'GW vulnerability algorithm'!$D$49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10" operator="equal" id="{1612A30C-60D7-4555-8722-5FC5ADDE3DC1}">
            <xm:f>'GW vulnerability algorithm'!$D$48</xm:f>
            <x14:dxf>
              <font>
                <b/>
                <i val="0"/>
                <color theme="1"/>
              </font>
              <fill>
                <patternFill>
                  <bgColor theme="7"/>
                </patternFill>
              </fill>
            </x14:dxf>
          </x14:cfRule>
          <x14:cfRule type="cellIs" priority="11" operator="equal" id="{082FBE34-C95E-406B-BC61-3008A2C6167F}">
            <xm:f>'GW vulnerability algorithm'!$D$47</xm:f>
            <x14:dxf>
              <font>
                <b/>
                <i val="0"/>
                <color theme="1"/>
              </font>
              <fill>
                <patternFill>
                  <bgColor rgb="FFFFFF00"/>
                </patternFill>
              </fill>
            </x14:dxf>
          </x14:cfRule>
          <x14:cfRule type="cellIs" priority="12" operator="equal" id="{501BEB10-2170-419A-8B72-3ED68361AF0E}">
            <xm:f>'GW vulnerability algorithm'!$D$46</xm:f>
            <x14:dxf>
              <font>
                <b/>
                <i val="0"/>
                <color theme="0"/>
              </font>
              <fill>
                <patternFill>
                  <bgColor theme="9" tint="-0.499984740745262"/>
                </patternFill>
              </fill>
            </x14:dxf>
          </x14:cfRule>
          <x14:cfRule type="containsText" priority="13" operator="containsText" id="{15ED9B30-9AE7-4131-8DFB-B6B03BA8E10A}">
            <xm:f>NOT(ISERROR(SEARCH('GW vulnerability algorithm'!$D$45,G49)))</xm:f>
            <xm:f>'GW vulnerability algorithm'!$D$45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G49</xm:sqref>
        </x14:conditionalFormatting>
        <x14:conditionalFormatting xmlns:xm="http://schemas.microsoft.com/office/excel/2006/main">
          <x14:cfRule type="cellIs" priority="2" operator="equal" id="{227D807E-A396-49C8-A9CC-7093C964A01D}">
            <xm:f>'GW vulnerability algorithm'!$D$49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3" operator="equal" id="{9DD6433B-2576-4C4B-8309-798A6F76BB81}">
            <xm:f>'GW vulnerability algorithm'!$D$48</xm:f>
            <x14:dxf>
              <font>
                <b/>
                <i val="0"/>
                <color theme="1"/>
              </font>
              <fill>
                <patternFill>
                  <bgColor theme="7"/>
                </patternFill>
              </fill>
            </x14:dxf>
          </x14:cfRule>
          <x14:cfRule type="cellIs" priority="4" operator="equal" id="{7F73FC59-8905-4F0E-A8FB-8CF6218EAD6D}">
            <xm:f>'GW vulnerability algorithm'!$D$47</xm:f>
            <x14:dxf>
              <font>
                <b/>
                <i val="0"/>
                <color theme="1"/>
              </font>
              <fill>
                <patternFill>
                  <bgColor rgb="FFFFFF00"/>
                </patternFill>
              </fill>
            </x14:dxf>
          </x14:cfRule>
          <x14:cfRule type="cellIs" priority="5" operator="equal" id="{049A6A4E-15C0-4A12-BB6B-2331E8817976}">
            <xm:f>'GW vulnerability algorithm'!$D$46</xm:f>
            <x14:dxf>
              <font>
                <b/>
                <i val="0"/>
                <color theme="0"/>
              </font>
              <fill>
                <patternFill>
                  <bgColor theme="9" tint="-0.499984740745262"/>
                </patternFill>
              </fill>
            </x14:dxf>
          </x14:cfRule>
          <x14:cfRule type="containsText" priority="6" operator="containsText" id="{ACD472BA-E1EC-412F-9806-EEBBC4EF01ED}">
            <xm:f>NOT(ISERROR(SEARCH('GW vulnerability algorithm'!$D$45,G65)))</xm:f>
            <xm:f>'GW vulnerability algorithm'!$D$45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9BBF26-036E-4420-9911-B6EF930761FE}">
          <x14:formula1>
            <xm:f>data!$A$1:$A$7</xm:f>
          </x14:formula1>
          <xm:sqref>C11:E11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2"/>
  <sheetViews>
    <sheetView zoomScale="70" zoomScaleNormal="70" workbookViewId="0">
      <pane xSplit="2" ySplit="2" topLeftCell="C3" activePane="bottomRight" state="frozenSplit"/>
      <selection pane="topRight" activeCell="C1" sqref="C1"/>
      <selection pane="bottomLeft" activeCell="A2" sqref="A2"/>
      <selection pane="bottomRight" activeCell="E28" sqref="E28"/>
    </sheetView>
  </sheetViews>
  <sheetFormatPr defaultRowHeight="15"/>
  <cols>
    <col min="1" max="1" width="18.5703125" bestFit="1" customWidth="1"/>
    <col min="2" max="2" width="26.140625" bestFit="1" customWidth="1"/>
    <col min="3" max="3" width="13.28515625" customWidth="1"/>
    <col min="4" max="5" width="12.140625" customWidth="1"/>
    <col min="6" max="6" width="12.140625" style="1" customWidth="1"/>
    <col min="7" max="7" width="15.7109375" customWidth="1"/>
    <col min="8" max="8" width="12.28515625" customWidth="1"/>
    <col min="9" max="9" width="11.42578125" customWidth="1"/>
    <col min="10" max="10" width="15.5703125" customWidth="1"/>
    <col min="11" max="11" width="13.5703125" customWidth="1"/>
    <col min="12" max="14" width="14.5703125" customWidth="1"/>
    <col min="15" max="19" width="9.140625" customWidth="1"/>
    <col min="20" max="20" width="13.5703125" bestFit="1" customWidth="1"/>
    <col min="21" max="21" width="11.140625" customWidth="1"/>
    <col min="22" max="22" width="11.85546875" customWidth="1"/>
    <col min="25" max="25" width="15.85546875" customWidth="1"/>
    <col min="26" max="26" width="14.7109375" customWidth="1"/>
    <col min="27" max="27" width="13.5703125" customWidth="1"/>
    <col min="28" max="28" width="14.28515625" customWidth="1"/>
  </cols>
  <sheetData>
    <row r="1" spans="1:28" s="1" customFormat="1" ht="18.75">
      <c r="Y1" s="216" t="s">
        <v>211</v>
      </c>
      <c r="Z1" s="216"/>
      <c r="AA1" s="216"/>
      <c r="AB1" s="216"/>
    </row>
    <row r="2" spans="1:28" s="1" customFormat="1" ht="74.25" customHeight="1">
      <c r="A2" s="12" t="s">
        <v>76</v>
      </c>
      <c r="B2" s="13" t="s">
        <v>77</v>
      </c>
      <c r="C2" s="3" t="s">
        <v>27</v>
      </c>
      <c r="D2" s="5" t="s">
        <v>26</v>
      </c>
      <c r="E2" s="35" t="s">
        <v>70</v>
      </c>
      <c r="F2" s="3" t="s">
        <v>147</v>
      </c>
      <c r="G2" s="8" t="s">
        <v>223</v>
      </c>
      <c r="H2" s="9" t="s">
        <v>224</v>
      </c>
      <c r="I2" s="5" t="s">
        <v>225</v>
      </c>
      <c r="J2" s="132" t="s">
        <v>162</v>
      </c>
      <c r="K2" s="133" t="s">
        <v>71</v>
      </c>
      <c r="L2" s="134" t="s">
        <v>222</v>
      </c>
      <c r="M2" s="135" t="s">
        <v>72</v>
      </c>
      <c r="N2" s="136" t="s">
        <v>73</v>
      </c>
      <c r="O2" s="132" t="s">
        <v>161</v>
      </c>
      <c r="P2" s="133" t="s">
        <v>82</v>
      </c>
      <c r="Q2" s="137" t="s">
        <v>160</v>
      </c>
      <c r="R2" s="138" t="s">
        <v>159</v>
      </c>
      <c r="S2" s="132" t="s">
        <v>75</v>
      </c>
      <c r="T2" s="133" t="s">
        <v>74</v>
      </c>
      <c r="U2" s="139" t="s">
        <v>80</v>
      </c>
      <c r="V2" s="140" t="s">
        <v>175</v>
      </c>
      <c r="W2" s="141" t="s">
        <v>133</v>
      </c>
      <c r="X2" s="141" t="s">
        <v>140</v>
      </c>
      <c r="Y2" s="143" t="s">
        <v>134</v>
      </c>
      <c r="Z2" s="143" t="s">
        <v>135</v>
      </c>
      <c r="AA2" s="143" t="s">
        <v>136</v>
      </c>
      <c r="AB2" s="143" t="s">
        <v>153</v>
      </c>
    </row>
    <row r="3" spans="1:28">
      <c r="A3" s="12" t="s">
        <v>4</v>
      </c>
      <c r="B3" s="13" t="s">
        <v>65</v>
      </c>
      <c r="C3" s="4">
        <v>13.38</v>
      </c>
      <c r="D3" s="6"/>
      <c r="E3" s="28">
        <v>5296</v>
      </c>
      <c r="F3" s="4">
        <v>0</v>
      </c>
      <c r="G3" s="10"/>
      <c r="H3" s="11"/>
      <c r="I3" s="6"/>
      <c r="J3" s="10"/>
      <c r="K3" s="11"/>
      <c r="L3" s="32"/>
      <c r="M3" s="33"/>
      <c r="N3" s="34"/>
      <c r="O3" s="10"/>
      <c r="P3" s="11"/>
      <c r="Q3" s="7"/>
      <c r="R3" s="37"/>
      <c r="S3" s="10"/>
      <c r="T3" s="11"/>
      <c r="U3" s="38">
        <v>1093</v>
      </c>
      <c r="V3" s="2">
        <f t="shared" ref="V3:V43" si="0">IF(ISERR(ROUND(U3/E3*100,0)),"NoData",ROUND(U3/E3*100,0))</f>
        <v>21</v>
      </c>
      <c r="W3" s="2"/>
      <c r="X3" s="2">
        <f t="shared" ref="X3:X45" si="1">ROUND(W3*C3,1)</f>
        <v>0</v>
      </c>
      <c r="Y3" s="144"/>
      <c r="Z3" s="144"/>
      <c r="AA3" s="145"/>
      <c r="AB3" s="144"/>
    </row>
    <row r="4" spans="1:28">
      <c r="A4" s="12" t="s">
        <v>4</v>
      </c>
      <c r="B4" s="13" t="s">
        <v>66</v>
      </c>
      <c r="C4" s="4">
        <v>162.80000000000001</v>
      </c>
      <c r="D4" s="6"/>
      <c r="E4" s="28">
        <v>14133</v>
      </c>
      <c r="F4" s="4">
        <v>0</v>
      </c>
      <c r="G4" s="10"/>
      <c r="H4" s="11"/>
      <c r="I4" s="6"/>
      <c r="J4" s="10"/>
      <c r="K4" s="11"/>
      <c r="L4" s="32"/>
      <c r="M4" s="33"/>
      <c r="N4" s="34"/>
      <c r="O4" s="10"/>
      <c r="P4" s="11"/>
      <c r="Q4" s="7"/>
      <c r="R4" s="37"/>
      <c r="S4" s="10"/>
      <c r="T4" s="11"/>
      <c r="U4" s="38">
        <v>2438</v>
      </c>
      <c r="V4" s="2">
        <f t="shared" si="0"/>
        <v>17</v>
      </c>
      <c r="W4" s="2"/>
      <c r="X4" s="2">
        <f t="shared" si="1"/>
        <v>0</v>
      </c>
      <c r="Y4" s="144"/>
      <c r="Z4" s="144"/>
      <c r="AA4" s="144"/>
      <c r="AB4" s="144"/>
    </row>
    <row r="5" spans="1:28">
      <c r="A5" s="12" t="s">
        <v>4</v>
      </c>
      <c r="B5" s="13" t="s">
        <v>64</v>
      </c>
      <c r="C5" s="4">
        <v>8.5</v>
      </c>
      <c r="D5" s="6"/>
      <c r="E5" s="28">
        <v>4169</v>
      </c>
      <c r="F5" s="4">
        <v>0</v>
      </c>
      <c r="G5" s="10"/>
      <c r="H5" s="11"/>
      <c r="I5" s="6"/>
      <c r="J5" s="10"/>
      <c r="K5" s="11"/>
      <c r="L5" s="32"/>
      <c r="M5" s="33"/>
      <c r="N5" s="34"/>
      <c r="O5" s="10"/>
      <c r="P5" s="11"/>
      <c r="Q5" s="7"/>
      <c r="R5" s="37"/>
      <c r="S5" s="10"/>
      <c r="T5" s="11"/>
      <c r="U5" s="38">
        <v>1700</v>
      </c>
      <c r="V5" s="2">
        <f t="shared" si="0"/>
        <v>41</v>
      </c>
      <c r="W5" s="2"/>
      <c r="X5" s="2">
        <f t="shared" si="1"/>
        <v>0</v>
      </c>
      <c r="Y5" s="144"/>
      <c r="Z5" s="144"/>
      <c r="AA5" s="144"/>
      <c r="AB5" s="144"/>
    </row>
    <row r="6" spans="1:28">
      <c r="A6" s="12" t="s">
        <v>4</v>
      </c>
      <c r="B6" s="13" t="s">
        <v>44</v>
      </c>
      <c r="C6" s="4">
        <v>45.5</v>
      </c>
      <c r="D6" s="6"/>
      <c r="E6" s="28">
        <v>2919</v>
      </c>
      <c r="F6" s="4">
        <v>0</v>
      </c>
      <c r="G6" s="10"/>
      <c r="H6" s="11"/>
      <c r="I6" s="6"/>
      <c r="J6" s="10"/>
      <c r="K6" s="11"/>
      <c r="L6" s="32"/>
      <c r="M6" s="33">
        <f>1*24</f>
        <v>24</v>
      </c>
      <c r="N6" s="34">
        <f>1.3*24</f>
        <v>31.200000000000003</v>
      </c>
      <c r="O6" s="10"/>
      <c r="P6" s="11"/>
      <c r="Q6" s="7"/>
      <c r="R6" s="37"/>
      <c r="S6" s="10"/>
      <c r="T6" s="11"/>
      <c r="U6" s="38">
        <v>476</v>
      </c>
      <c r="V6" s="2">
        <f t="shared" si="0"/>
        <v>16</v>
      </c>
      <c r="W6" s="2">
        <v>6.45</v>
      </c>
      <c r="X6" s="2">
        <f t="shared" si="1"/>
        <v>293.5</v>
      </c>
      <c r="Y6" s="146" t="s">
        <v>99</v>
      </c>
      <c r="Z6" s="146" t="s">
        <v>99</v>
      </c>
      <c r="AA6" s="145" t="s">
        <v>151</v>
      </c>
      <c r="AB6" s="144"/>
    </row>
    <row r="7" spans="1:28">
      <c r="A7" s="12" t="s">
        <v>4</v>
      </c>
      <c r="B7" s="13" t="s">
        <v>67</v>
      </c>
      <c r="C7" s="4">
        <v>14.04</v>
      </c>
      <c r="D7" s="6"/>
      <c r="E7" s="28">
        <v>1435</v>
      </c>
      <c r="F7" s="4">
        <v>0</v>
      </c>
      <c r="G7" s="10"/>
      <c r="H7" s="11"/>
      <c r="I7" s="6"/>
      <c r="J7" s="10"/>
      <c r="K7" s="11"/>
      <c r="L7" s="32"/>
      <c r="M7" s="33"/>
      <c r="N7" s="34"/>
      <c r="O7" s="10"/>
      <c r="P7" s="11"/>
      <c r="Q7" s="7"/>
      <c r="R7" s="37"/>
      <c r="S7" s="10"/>
      <c r="T7" s="11"/>
      <c r="U7" s="38">
        <v>522</v>
      </c>
      <c r="V7" s="2">
        <f t="shared" si="0"/>
        <v>36</v>
      </c>
      <c r="W7" s="2"/>
      <c r="X7" s="2">
        <f t="shared" si="1"/>
        <v>0</v>
      </c>
      <c r="Y7" s="144"/>
      <c r="Z7" s="144"/>
      <c r="AA7" s="144"/>
      <c r="AB7" s="144"/>
    </row>
    <row r="8" spans="1:28">
      <c r="A8" s="12" t="s">
        <v>5</v>
      </c>
      <c r="B8" s="13" t="s">
        <v>34</v>
      </c>
      <c r="C8" s="4">
        <v>43.53</v>
      </c>
      <c r="D8" s="4">
        <v>43.64</v>
      </c>
      <c r="E8" s="4">
        <v>5727</v>
      </c>
      <c r="F8" s="4">
        <f>ROUND(U8*1.5,0)</f>
        <v>233</v>
      </c>
      <c r="G8" s="88">
        <f>J8*1.02</f>
        <v>9.1799999999999993E-2</v>
      </c>
      <c r="H8" s="87">
        <f>ROUND(G8*(E8+F8),2)</f>
        <v>547.13</v>
      </c>
      <c r="I8" s="6"/>
      <c r="J8" s="88">
        <f>ROUND(32.55/365,2)</f>
        <v>0.09</v>
      </c>
      <c r="K8" s="87">
        <f>ROUND(J8*(E8+F8),2)</f>
        <v>536.4</v>
      </c>
      <c r="L8" s="32">
        <f t="shared" ref="L8:L12" si="2">ROUND(M8/F8,2)</f>
        <v>0.26</v>
      </c>
      <c r="M8" s="33">
        <f>0.0007*86400</f>
        <v>60.48</v>
      </c>
      <c r="N8" s="89">
        <f>0.1*86400</f>
        <v>8640</v>
      </c>
      <c r="O8" s="10">
        <f>ROUND(P8/(E8+F8),2)</f>
        <v>0.17</v>
      </c>
      <c r="P8" s="87">
        <v>1027</v>
      </c>
      <c r="Q8" s="86">
        <f>(2.832+3.867)/365</f>
        <v>1.8353424657534246E-2</v>
      </c>
      <c r="R8" s="90">
        <f>Q8*E8+Q8*F8</f>
        <v>109.38641095890409</v>
      </c>
      <c r="S8" s="10">
        <f>ROUND((T8/E8)/365,2)</f>
        <v>2.1800000000000002</v>
      </c>
      <c r="T8" s="39">
        <v>4550750</v>
      </c>
      <c r="U8" s="38">
        <v>155</v>
      </c>
      <c r="V8" s="2">
        <f t="shared" si="0"/>
        <v>3</v>
      </c>
      <c r="W8" s="2"/>
      <c r="X8" s="2">
        <f t="shared" si="1"/>
        <v>0</v>
      </c>
      <c r="Y8" s="147" t="s">
        <v>94</v>
      </c>
      <c r="Z8" s="147" t="s">
        <v>103</v>
      </c>
      <c r="AA8" s="148" t="s">
        <v>152</v>
      </c>
      <c r="AB8" s="149">
        <v>500</v>
      </c>
    </row>
    <row r="9" spans="1:28">
      <c r="A9" s="12" t="s">
        <v>5</v>
      </c>
      <c r="B9" s="13" t="s">
        <v>35</v>
      </c>
      <c r="C9" s="4">
        <v>49.26</v>
      </c>
      <c r="D9" s="4">
        <v>23.4</v>
      </c>
      <c r="E9" s="4">
        <v>5358</v>
      </c>
      <c r="F9" s="4">
        <f t="shared" ref="F9:F13" si="3">ROUND(U9*1.5,0)</f>
        <v>623</v>
      </c>
      <c r="G9" s="88">
        <f t="shared" ref="G9:G13" si="4">J9*1.02</f>
        <v>9.1799999999999993E-2</v>
      </c>
      <c r="H9" s="87">
        <f t="shared" ref="H9:H13" si="5">ROUND(G9*(E9+F9),2)</f>
        <v>549.05999999999995</v>
      </c>
      <c r="I9" s="6"/>
      <c r="J9" s="88">
        <f t="shared" ref="J9:J12" si="6">ROUND(32.55/365,2)</f>
        <v>0.09</v>
      </c>
      <c r="K9" s="87">
        <f t="shared" ref="K9:K12" si="7">ROUND(J9*(E9+F9),2)</f>
        <v>538.29</v>
      </c>
      <c r="L9" s="32">
        <f t="shared" si="2"/>
        <v>1.32</v>
      </c>
      <c r="M9" s="33">
        <f>0.0095*86400</f>
        <v>820.8</v>
      </c>
      <c r="N9" s="89">
        <v>1264500</v>
      </c>
      <c r="O9" s="10">
        <f>ROUND(P9/(E9+F9),2)</f>
        <v>0.15</v>
      </c>
      <c r="P9" s="87">
        <v>920.72</v>
      </c>
      <c r="Q9" s="86">
        <f>(2.832+5.527)/365</f>
        <v>2.29013698630137E-2</v>
      </c>
      <c r="R9" s="90">
        <f t="shared" ref="R9:R13" si="8">Q9*E9+Q9*F9</f>
        <v>136.97309315068495</v>
      </c>
      <c r="S9" s="10">
        <f t="shared" ref="S9:S13" si="9">ROUND((T9/E9)/365,2)</f>
        <v>1.89</v>
      </c>
      <c r="T9" s="39">
        <v>3705046</v>
      </c>
      <c r="U9" s="38">
        <v>415</v>
      </c>
      <c r="V9" s="2">
        <f t="shared" si="0"/>
        <v>8</v>
      </c>
      <c r="W9" s="2"/>
      <c r="X9" s="2">
        <f t="shared" si="1"/>
        <v>0</v>
      </c>
      <c r="Y9" s="147" t="s">
        <v>97</v>
      </c>
      <c r="Z9" s="147" t="s">
        <v>105</v>
      </c>
      <c r="AA9" s="148" t="s">
        <v>152</v>
      </c>
      <c r="AB9" s="149">
        <v>861</v>
      </c>
    </row>
    <row r="10" spans="1:28">
      <c r="A10" s="12" t="s">
        <v>5</v>
      </c>
      <c r="B10" s="13" t="s">
        <v>36</v>
      </c>
      <c r="C10" s="4">
        <v>27.51</v>
      </c>
      <c r="D10" s="4">
        <v>12.35</v>
      </c>
      <c r="E10" s="4">
        <v>2814</v>
      </c>
      <c r="F10" s="4">
        <f t="shared" si="3"/>
        <v>840</v>
      </c>
      <c r="G10" s="88">
        <f t="shared" si="4"/>
        <v>9.1799999999999993E-2</v>
      </c>
      <c r="H10" s="87">
        <f t="shared" si="5"/>
        <v>335.44</v>
      </c>
      <c r="I10" s="6"/>
      <c r="J10" s="88">
        <f t="shared" si="6"/>
        <v>0.09</v>
      </c>
      <c r="K10" s="87">
        <f t="shared" si="7"/>
        <v>328.86</v>
      </c>
      <c r="L10" s="32">
        <f t="shared" si="2"/>
        <v>0.51</v>
      </c>
      <c r="M10" s="33">
        <f>0.005*86400</f>
        <v>432</v>
      </c>
      <c r="N10" s="89">
        <f>0.1*86400</f>
        <v>8640</v>
      </c>
      <c r="O10" s="10">
        <f>ROUND(P10/(E10+F10),2)</f>
        <v>0.22</v>
      </c>
      <c r="P10" s="87">
        <v>794.6</v>
      </c>
      <c r="Q10" s="86">
        <f>(2.832+5.153)/365</f>
        <v>2.1876712328767121E-2</v>
      </c>
      <c r="R10" s="90">
        <f t="shared" si="8"/>
        <v>79.937506849315056</v>
      </c>
      <c r="S10" s="10">
        <f t="shared" si="9"/>
        <v>1.92</v>
      </c>
      <c r="T10" s="39">
        <v>1976244</v>
      </c>
      <c r="U10" s="38">
        <v>560</v>
      </c>
      <c r="V10" s="2">
        <f t="shared" si="0"/>
        <v>20</v>
      </c>
      <c r="W10" s="2"/>
      <c r="X10" s="2">
        <f t="shared" si="1"/>
        <v>0</v>
      </c>
      <c r="Y10" s="147" t="s">
        <v>114</v>
      </c>
      <c r="Z10" s="147" t="s">
        <v>103</v>
      </c>
      <c r="AA10" s="148" t="s">
        <v>152</v>
      </c>
      <c r="AB10" s="149">
        <v>505</v>
      </c>
    </row>
    <row r="11" spans="1:28">
      <c r="A11" s="12" t="s">
        <v>5</v>
      </c>
      <c r="B11" s="13" t="s">
        <v>30</v>
      </c>
      <c r="C11" s="4">
        <v>25.24</v>
      </c>
      <c r="D11" s="4">
        <v>15.5</v>
      </c>
      <c r="E11" s="4">
        <v>3154</v>
      </c>
      <c r="F11" s="4">
        <f t="shared" si="3"/>
        <v>1091</v>
      </c>
      <c r="G11" s="88">
        <f t="shared" si="4"/>
        <v>8.1600000000000006E-2</v>
      </c>
      <c r="H11" s="87">
        <f t="shared" si="5"/>
        <v>346.39</v>
      </c>
      <c r="I11" s="6"/>
      <c r="J11" s="88">
        <f>ROUND(K11/(E11+F11),2)</f>
        <v>0.08</v>
      </c>
      <c r="K11" s="87">
        <f>ROUND(131115/365,1)</f>
        <v>359.2</v>
      </c>
      <c r="L11" s="32">
        <f t="shared" si="2"/>
        <v>0.04</v>
      </c>
      <c r="M11" s="33">
        <f>16000/365</f>
        <v>43.835616438356162</v>
      </c>
      <c r="N11" s="89">
        <f>4*24</f>
        <v>96</v>
      </c>
      <c r="O11" s="10">
        <f>ROUND(P11/(E11+F11),2)</f>
        <v>0.13</v>
      </c>
      <c r="P11" s="87">
        <v>539</v>
      </c>
      <c r="Q11" s="86">
        <f>(0.8174+2.737)/365</f>
        <v>9.7380821917808225E-3</v>
      </c>
      <c r="R11" s="90">
        <f t="shared" si="8"/>
        <v>41.338158904109591</v>
      </c>
      <c r="S11" s="10">
        <f t="shared" si="9"/>
        <v>0.92</v>
      </c>
      <c r="T11" s="39">
        <v>1058080</v>
      </c>
      <c r="U11" s="38">
        <v>727</v>
      </c>
      <c r="V11" s="2">
        <f t="shared" si="0"/>
        <v>23</v>
      </c>
      <c r="W11" s="2"/>
      <c r="X11" s="2">
        <f t="shared" si="1"/>
        <v>0</v>
      </c>
      <c r="Y11" s="149" t="s">
        <v>106</v>
      </c>
      <c r="Z11" s="149" t="s">
        <v>106</v>
      </c>
      <c r="AA11" s="148" t="s">
        <v>151</v>
      </c>
      <c r="AB11" s="149">
        <v>917</v>
      </c>
    </row>
    <row r="12" spans="1:28">
      <c r="A12" s="12" t="s">
        <v>5</v>
      </c>
      <c r="B12" s="13" t="s">
        <v>32</v>
      </c>
      <c r="C12" s="4">
        <v>23.97</v>
      </c>
      <c r="D12" s="4">
        <v>21.99</v>
      </c>
      <c r="E12" s="4">
        <v>2099</v>
      </c>
      <c r="F12" s="4">
        <f t="shared" si="3"/>
        <v>1106</v>
      </c>
      <c r="G12" s="88">
        <f t="shared" si="4"/>
        <v>9.1799999999999993E-2</v>
      </c>
      <c r="H12" s="87">
        <f t="shared" si="5"/>
        <v>294.22000000000003</v>
      </c>
      <c r="I12" s="6"/>
      <c r="J12" s="88">
        <f t="shared" si="6"/>
        <v>0.09</v>
      </c>
      <c r="K12" s="87">
        <f t="shared" si="7"/>
        <v>288.45</v>
      </c>
      <c r="L12" s="32">
        <f t="shared" si="2"/>
        <v>0.26</v>
      </c>
      <c r="M12" s="33">
        <f>0.0033*86400</f>
        <v>285.12</v>
      </c>
      <c r="N12" s="89">
        <f>30*86400</f>
        <v>2592000</v>
      </c>
      <c r="O12" s="10">
        <f t="shared" ref="O12" si="10">ROUND(P12/(E12+F12),2)</f>
        <v>0.16</v>
      </c>
      <c r="P12" s="87">
        <v>507.5</v>
      </c>
      <c r="Q12" s="86">
        <f>(2.832+7.201)/365</f>
        <v>2.7487671232876709E-2</v>
      </c>
      <c r="R12" s="90">
        <f t="shared" si="8"/>
        <v>88.097986301369858</v>
      </c>
      <c r="S12" s="10">
        <f t="shared" si="9"/>
        <v>1.6</v>
      </c>
      <c r="T12" s="39">
        <v>1225424</v>
      </c>
      <c r="U12" s="38">
        <v>737</v>
      </c>
      <c r="V12" s="2">
        <f t="shared" si="0"/>
        <v>35</v>
      </c>
      <c r="W12" s="2"/>
      <c r="X12" s="2">
        <f t="shared" si="1"/>
        <v>0</v>
      </c>
      <c r="Y12" s="147" t="s">
        <v>96</v>
      </c>
      <c r="Z12" s="147" t="s">
        <v>103</v>
      </c>
      <c r="AA12" s="148" t="s">
        <v>152</v>
      </c>
      <c r="AB12" s="149">
        <v>706</v>
      </c>
    </row>
    <row r="13" spans="1:28">
      <c r="A13" s="12" t="s">
        <v>5</v>
      </c>
      <c r="B13" s="13" t="s">
        <v>33</v>
      </c>
      <c r="C13" s="4">
        <v>79.75</v>
      </c>
      <c r="D13" s="4">
        <v>21.5</v>
      </c>
      <c r="E13" s="4">
        <v>6364</v>
      </c>
      <c r="F13" s="4">
        <f t="shared" si="3"/>
        <v>1452</v>
      </c>
      <c r="G13" s="88">
        <f t="shared" si="4"/>
        <v>4.0800000000000003E-2</v>
      </c>
      <c r="H13" s="87">
        <f t="shared" si="5"/>
        <v>318.89</v>
      </c>
      <c r="I13" s="6"/>
      <c r="J13" s="88">
        <f t="shared" ref="J13" si="11">ROUND(K13/(E13+F13),2)</f>
        <v>0.04</v>
      </c>
      <c r="K13" s="11">
        <f>ROUND(113319/365,1)</f>
        <v>310.5</v>
      </c>
      <c r="L13" s="32">
        <f>ROUND(M13/F13,2)</f>
        <v>1.03</v>
      </c>
      <c r="M13" s="33">
        <f>0.0173*86400</f>
        <v>1494.72</v>
      </c>
      <c r="N13" s="89">
        <f>200000/365</f>
        <v>547.94520547945206</v>
      </c>
      <c r="O13" s="10">
        <f>ROUND(P13/(E13+F13),2)</f>
        <v>0.11</v>
      </c>
      <c r="P13" s="87">
        <v>877.75800000000004</v>
      </c>
      <c r="Q13" s="86">
        <f>(0.808+8.355)/365</f>
        <v>2.5104109589041097E-2</v>
      </c>
      <c r="R13" s="90">
        <f t="shared" si="8"/>
        <v>196.21372054794523</v>
      </c>
      <c r="S13" s="10">
        <f t="shared" si="9"/>
        <v>1.5</v>
      </c>
      <c r="T13" s="39">
        <v>3485333</v>
      </c>
      <c r="U13" s="38">
        <v>968</v>
      </c>
      <c r="V13" s="2">
        <f t="shared" si="0"/>
        <v>15</v>
      </c>
      <c r="W13" s="2"/>
      <c r="X13" s="2">
        <f t="shared" si="1"/>
        <v>0</v>
      </c>
      <c r="Y13" s="147" t="s">
        <v>99</v>
      </c>
      <c r="Z13" s="147" t="s">
        <v>105</v>
      </c>
      <c r="AA13" s="148" t="s">
        <v>152</v>
      </c>
      <c r="AB13" s="149">
        <v>25</v>
      </c>
    </row>
    <row r="14" spans="1:28">
      <c r="A14" s="12" t="s">
        <v>6</v>
      </c>
      <c r="B14" s="13" t="s">
        <v>53</v>
      </c>
      <c r="C14" s="4">
        <v>38.22</v>
      </c>
      <c r="D14" s="6">
        <v>3.2</v>
      </c>
      <c r="E14" s="28">
        <v>11192</v>
      </c>
      <c r="F14" s="4">
        <v>0</v>
      </c>
      <c r="G14" s="10"/>
      <c r="H14" s="11"/>
      <c r="I14" s="6"/>
      <c r="J14" s="10"/>
      <c r="K14" s="11"/>
      <c r="L14" s="32"/>
      <c r="M14" s="33"/>
      <c r="N14" s="34"/>
      <c r="O14" s="10"/>
      <c r="P14" s="11"/>
      <c r="Q14" s="7"/>
      <c r="R14" s="37"/>
      <c r="S14" s="10"/>
      <c r="T14" s="11"/>
      <c r="U14" s="38">
        <v>1411</v>
      </c>
      <c r="V14" s="2">
        <f t="shared" si="0"/>
        <v>13</v>
      </c>
      <c r="W14" s="2">
        <v>82</v>
      </c>
      <c r="X14" s="2">
        <f t="shared" si="1"/>
        <v>3134</v>
      </c>
      <c r="Y14" s="149" t="s">
        <v>99</v>
      </c>
      <c r="Z14" s="149" t="s">
        <v>100</v>
      </c>
      <c r="AA14" s="149" t="s">
        <v>151</v>
      </c>
      <c r="AB14" s="149">
        <v>50</v>
      </c>
    </row>
    <row r="15" spans="1:28">
      <c r="A15" s="12" t="s">
        <v>6</v>
      </c>
      <c r="B15" s="13" t="s">
        <v>54</v>
      </c>
      <c r="C15" s="4">
        <v>1.55</v>
      </c>
      <c r="D15" s="6">
        <v>1.44</v>
      </c>
      <c r="E15" s="28">
        <v>280</v>
      </c>
      <c r="F15" s="4">
        <v>910</v>
      </c>
      <c r="G15" s="10">
        <v>0.2</v>
      </c>
      <c r="H15" s="11">
        <v>243</v>
      </c>
      <c r="I15" s="6">
        <v>1883</v>
      </c>
      <c r="J15" s="10">
        <v>0.22</v>
      </c>
      <c r="K15" s="11">
        <v>265.7</v>
      </c>
      <c r="L15" s="32">
        <v>1.21</v>
      </c>
      <c r="M15" s="33">
        <v>1440</v>
      </c>
      <c r="N15" s="34"/>
      <c r="O15" s="10"/>
      <c r="P15" s="11"/>
      <c r="Q15" s="7"/>
      <c r="R15" s="37"/>
      <c r="S15" s="10"/>
      <c r="T15" s="11"/>
      <c r="U15" s="38">
        <v>641</v>
      </c>
      <c r="V15" s="2">
        <f t="shared" si="0"/>
        <v>229</v>
      </c>
      <c r="W15" s="2">
        <v>100</v>
      </c>
      <c r="X15" s="2">
        <f t="shared" si="1"/>
        <v>155</v>
      </c>
      <c r="Y15" s="144" t="s">
        <v>99</v>
      </c>
      <c r="Z15" s="144" t="s">
        <v>100</v>
      </c>
      <c r="AA15" s="144" t="s">
        <v>151</v>
      </c>
      <c r="AB15" s="144">
        <v>120</v>
      </c>
    </row>
    <row r="16" spans="1:28">
      <c r="A16" s="12" t="s">
        <v>6</v>
      </c>
      <c r="B16" s="13" t="s">
        <v>52</v>
      </c>
      <c r="C16" s="4">
        <v>44.37</v>
      </c>
      <c r="D16" s="6">
        <v>0.65</v>
      </c>
      <c r="E16" s="28">
        <v>2173</v>
      </c>
      <c r="F16" s="4">
        <v>1236</v>
      </c>
      <c r="G16" s="10"/>
      <c r="H16" s="11"/>
      <c r="I16" s="6"/>
      <c r="J16" s="10"/>
      <c r="K16" s="11"/>
      <c r="L16" s="32"/>
      <c r="M16" s="33"/>
      <c r="N16" s="34"/>
      <c r="O16" s="10"/>
      <c r="P16" s="11"/>
      <c r="Q16" s="7"/>
      <c r="R16" s="37"/>
      <c r="S16" s="10"/>
      <c r="T16" s="11"/>
      <c r="U16" s="38">
        <v>1224</v>
      </c>
      <c r="V16" s="2">
        <f t="shared" si="0"/>
        <v>56</v>
      </c>
      <c r="W16" s="2">
        <v>48</v>
      </c>
      <c r="X16" s="2">
        <f t="shared" si="1"/>
        <v>2129.8000000000002</v>
      </c>
      <c r="Y16" s="144" t="s">
        <v>99</v>
      </c>
      <c r="Z16" s="144" t="s">
        <v>100</v>
      </c>
      <c r="AA16" s="144" t="s">
        <v>151</v>
      </c>
      <c r="AB16" s="144">
        <v>100</v>
      </c>
    </row>
    <row r="17" spans="1:28">
      <c r="A17" s="12" t="s">
        <v>6</v>
      </c>
      <c r="B17" s="13" t="s">
        <v>39</v>
      </c>
      <c r="C17" s="4">
        <v>16.63</v>
      </c>
      <c r="D17" s="6">
        <v>0.5</v>
      </c>
      <c r="E17" s="28">
        <v>3066</v>
      </c>
      <c r="F17" s="4">
        <v>190</v>
      </c>
      <c r="G17" s="10"/>
      <c r="H17" s="11"/>
      <c r="I17" s="6"/>
      <c r="J17" s="10"/>
      <c r="K17" s="11"/>
      <c r="L17" s="32"/>
      <c r="M17" s="33">
        <f>0.4*60*24</f>
        <v>576</v>
      </c>
      <c r="N17" s="34">
        <f>0.4*60*24</f>
        <v>576</v>
      </c>
      <c r="O17" s="10"/>
      <c r="P17" s="11"/>
      <c r="Q17" s="7"/>
      <c r="R17" s="37"/>
      <c r="S17" s="10"/>
      <c r="T17" s="11"/>
      <c r="U17" s="38">
        <v>195</v>
      </c>
      <c r="V17" s="2">
        <f t="shared" si="0"/>
        <v>6</v>
      </c>
      <c r="W17" s="2">
        <v>0</v>
      </c>
      <c r="X17" s="2">
        <f t="shared" si="1"/>
        <v>0</v>
      </c>
      <c r="Y17" s="146" t="s">
        <v>97</v>
      </c>
      <c r="Z17" s="146" t="s">
        <v>100</v>
      </c>
      <c r="AA17" s="145" t="s">
        <v>151</v>
      </c>
      <c r="AB17" s="144">
        <v>130</v>
      </c>
    </row>
    <row r="18" spans="1:28">
      <c r="A18" s="12" t="s">
        <v>6</v>
      </c>
      <c r="B18" s="13" t="s">
        <v>40</v>
      </c>
      <c r="C18" s="4">
        <v>46.5</v>
      </c>
      <c r="D18" s="6">
        <v>0.75</v>
      </c>
      <c r="E18" s="28">
        <v>2610</v>
      </c>
      <c r="F18" s="4">
        <v>800</v>
      </c>
      <c r="G18" s="10">
        <v>0.62</v>
      </c>
      <c r="H18" s="11">
        <v>2100</v>
      </c>
      <c r="I18" s="6"/>
      <c r="J18" s="10"/>
      <c r="K18" s="11"/>
      <c r="L18" s="32"/>
      <c r="M18" s="33">
        <f>3.69*60*24</f>
        <v>5313.6</v>
      </c>
      <c r="N18" s="34">
        <f>0.91*60*24</f>
        <v>1310.4000000000001</v>
      </c>
      <c r="O18" s="10"/>
      <c r="P18" s="11"/>
      <c r="Q18" s="7"/>
      <c r="R18" s="37"/>
      <c r="S18" s="10"/>
      <c r="T18" s="11"/>
      <c r="U18" s="38">
        <v>804</v>
      </c>
      <c r="V18" s="2">
        <f t="shared" si="0"/>
        <v>31</v>
      </c>
      <c r="W18" s="2">
        <v>27</v>
      </c>
      <c r="X18" s="2">
        <f t="shared" si="1"/>
        <v>1255.5</v>
      </c>
      <c r="Y18" s="146" t="s">
        <v>103</v>
      </c>
      <c r="Z18" s="146" t="s">
        <v>100</v>
      </c>
      <c r="AA18" s="145" t="s">
        <v>151</v>
      </c>
      <c r="AB18" s="144">
        <v>200</v>
      </c>
    </row>
    <row r="19" spans="1:28">
      <c r="A19" s="12" t="s">
        <v>8</v>
      </c>
      <c r="B19" s="13" t="s">
        <v>68</v>
      </c>
      <c r="C19" s="4">
        <v>24.69</v>
      </c>
      <c r="D19" s="6">
        <v>0</v>
      </c>
      <c r="E19" s="28">
        <v>2070</v>
      </c>
      <c r="F19" s="4">
        <v>39</v>
      </c>
      <c r="G19" s="10">
        <v>7.0999999999999994E-2</v>
      </c>
      <c r="H19" s="11">
        <v>147.75</v>
      </c>
      <c r="I19" s="6"/>
      <c r="J19" s="10">
        <v>7.6999999999999999E-2</v>
      </c>
      <c r="K19" s="11">
        <v>160.1</v>
      </c>
      <c r="L19" s="32"/>
      <c r="M19" s="33"/>
      <c r="N19" s="34"/>
      <c r="O19" s="10">
        <v>0.37</v>
      </c>
      <c r="P19" s="11">
        <v>773.5</v>
      </c>
      <c r="Q19" s="7">
        <v>6.1500000000000001E-3</v>
      </c>
      <c r="R19" s="37">
        <v>12.75</v>
      </c>
      <c r="S19" s="10"/>
      <c r="T19" s="11"/>
      <c r="U19" s="38">
        <v>1631</v>
      </c>
      <c r="V19" s="2">
        <f t="shared" si="0"/>
        <v>79</v>
      </c>
      <c r="W19" s="2">
        <v>0</v>
      </c>
      <c r="X19" s="2">
        <v>0</v>
      </c>
      <c r="Y19" s="144" t="s">
        <v>114</v>
      </c>
      <c r="Z19" s="144" t="s">
        <v>102</v>
      </c>
      <c r="AA19" s="145" t="s">
        <v>151</v>
      </c>
      <c r="AB19" s="144">
        <v>436</v>
      </c>
    </row>
    <row r="20" spans="1:28">
      <c r="A20" s="12" t="s">
        <v>8</v>
      </c>
      <c r="B20" s="13" t="s">
        <v>56</v>
      </c>
      <c r="C20" s="4">
        <v>461.66</v>
      </c>
      <c r="D20" s="6">
        <v>0</v>
      </c>
      <c r="E20" s="28">
        <v>201272</v>
      </c>
      <c r="F20" s="4">
        <v>599</v>
      </c>
      <c r="G20" s="10">
        <v>0.17</v>
      </c>
      <c r="H20" s="11">
        <v>34038</v>
      </c>
      <c r="I20" s="6"/>
      <c r="J20" s="10">
        <v>0.16</v>
      </c>
      <c r="K20" s="11">
        <v>33106</v>
      </c>
      <c r="L20" s="32"/>
      <c r="M20" s="33"/>
      <c r="N20" s="34"/>
      <c r="O20" s="10">
        <v>0.35</v>
      </c>
      <c r="P20" s="11">
        <v>69590</v>
      </c>
      <c r="Q20" s="7">
        <v>2.9589999999999998E-3</v>
      </c>
      <c r="R20" s="37">
        <v>595.54</v>
      </c>
      <c r="S20" s="10">
        <v>4315.83</v>
      </c>
      <c r="T20" s="11">
        <f>S20*F20</f>
        <v>2585182.17</v>
      </c>
      <c r="U20" s="38">
        <v>7061</v>
      </c>
      <c r="V20" s="2">
        <f t="shared" si="0"/>
        <v>4</v>
      </c>
      <c r="W20" s="2">
        <v>4.9000000000000004</v>
      </c>
      <c r="X20" s="2">
        <f t="shared" si="1"/>
        <v>2262.1</v>
      </c>
      <c r="Y20" s="144" t="s">
        <v>97</v>
      </c>
      <c r="Z20" s="144" t="s">
        <v>97</v>
      </c>
      <c r="AA20" s="144" t="s">
        <v>151</v>
      </c>
      <c r="AB20" s="144">
        <v>1031</v>
      </c>
    </row>
    <row r="21" spans="1:28">
      <c r="A21" s="12" t="s">
        <v>8</v>
      </c>
      <c r="B21" s="13" t="s">
        <v>57</v>
      </c>
      <c r="C21" s="4">
        <v>259.60000000000002</v>
      </c>
      <c r="D21" s="6">
        <v>0</v>
      </c>
      <c r="E21" s="28">
        <v>16577</v>
      </c>
      <c r="F21" s="4">
        <v>39</v>
      </c>
      <c r="G21" s="10">
        <v>0.11</v>
      </c>
      <c r="H21" s="11">
        <v>1794</v>
      </c>
      <c r="I21" s="6"/>
      <c r="J21" s="10">
        <v>0.12</v>
      </c>
      <c r="K21" s="11">
        <v>2068</v>
      </c>
      <c r="L21" s="32"/>
      <c r="M21" s="33"/>
      <c r="N21" s="34"/>
      <c r="O21" s="10">
        <v>0.2</v>
      </c>
      <c r="P21" s="11">
        <v>3350</v>
      </c>
      <c r="Q21" s="7">
        <v>3.1779999999999998E-3</v>
      </c>
      <c r="R21" s="37">
        <v>52.68</v>
      </c>
      <c r="S21" s="10">
        <v>3419.52</v>
      </c>
      <c r="T21" s="11">
        <f t="shared" ref="T21:T22" si="12">S21*F21</f>
        <v>133361.28</v>
      </c>
      <c r="U21" s="38">
        <v>756</v>
      </c>
      <c r="V21" s="2">
        <f t="shared" si="0"/>
        <v>5</v>
      </c>
      <c r="W21" s="2">
        <v>9.6000000000000002E-4</v>
      </c>
      <c r="X21" s="2">
        <f t="shared" si="1"/>
        <v>0.2</v>
      </c>
      <c r="Y21" s="144" t="s">
        <v>97</v>
      </c>
      <c r="Z21" s="144" t="s">
        <v>97</v>
      </c>
      <c r="AA21" s="144" t="s">
        <v>151</v>
      </c>
      <c r="AB21" s="144">
        <v>1024</v>
      </c>
    </row>
    <row r="22" spans="1:28">
      <c r="A22" s="12" t="s">
        <v>8</v>
      </c>
      <c r="B22" s="13" t="s">
        <v>55</v>
      </c>
      <c r="C22" s="4">
        <v>238.6</v>
      </c>
      <c r="D22" s="6">
        <v>0</v>
      </c>
      <c r="E22" s="28">
        <v>24073</v>
      </c>
      <c r="F22" s="4">
        <v>1091</v>
      </c>
      <c r="G22" s="10">
        <v>0.18</v>
      </c>
      <c r="H22" s="11">
        <v>4334</v>
      </c>
      <c r="I22" s="6"/>
      <c r="J22" s="10">
        <v>0.17</v>
      </c>
      <c r="K22" s="11">
        <v>4052</v>
      </c>
      <c r="L22" s="32"/>
      <c r="M22" s="33"/>
      <c r="N22" s="34"/>
      <c r="O22" s="10">
        <v>0.5</v>
      </c>
      <c r="P22" s="11">
        <v>12022</v>
      </c>
      <c r="Q22" s="7">
        <v>2.9589999999999998E-3</v>
      </c>
      <c r="R22" s="37">
        <v>71.23</v>
      </c>
      <c r="S22" s="10">
        <v>3719.25</v>
      </c>
      <c r="T22" s="11">
        <f t="shared" si="12"/>
        <v>4057701.75</v>
      </c>
      <c r="U22" s="38">
        <v>15888</v>
      </c>
      <c r="V22" s="2">
        <f t="shared" si="0"/>
        <v>66</v>
      </c>
      <c r="W22" s="2">
        <v>1.49E-3</v>
      </c>
      <c r="X22" s="2">
        <f t="shared" si="1"/>
        <v>0.4</v>
      </c>
      <c r="Y22" s="144" t="s">
        <v>97</v>
      </c>
      <c r="Z22" s="144" t="s">
        <v>97</v>
      </c>
      <c r="AA22" s="144" t="s">
        <v>151</v>
      </c>
      <c r="AB22" s="144">
        <v>980</v>
      </c>
    </row>
    <row r="23" spans="1:28">
      <c r="A23" s="12" t="s">
        <v>8</v>
      </c>
      <c r="B23" s="13" t="s">
        <v>69</v>
      </c>
      <c r="C23" s="4">
        <v>100.5</v>
      </c>
      <c r="D23" s="6">
        <v>0</v>
      </c>
      <c r="E23" s="28">
        <v>16437</v>
      </c>
      <c r="F23" s="4">
        <v>21</v>
      </c>
      <c r="G23" s="10">
        <v>7.0999999999999994E-2</v>
      </c>
      <c r="H23" s="11">
        <v>1171.1500000000001</v>
      </c>
      <c r="I23" s="6"/>
      <c r="J23" s="10">
        <v>7.6999999999999999E-2</v>
      </c>
      <c r="K23" s="11">
        <v>1281.0999999999999</v>
      </c>
      <c r="L23" s="32"/>
      <c r="M23" s="33"/>
      <c r="N23" s="34"/>
      <c r="O23" s="10">
        <v>0.4</v>
      </c>
      <c r="P23" s="11">
        <v>6704.1</v>
      </c>
      <c r="Q23" s="7">
        <v>1.251E-2</v>
      </c>
      <c r="R23" s="37">
        <v>205.7</v>
      </c>
      <c r="S23" s="10"/>
      <c r="T23" s="11"/>
      <c r="U23" s="38">
        <v>1167</v>
      </c>
      <c r="V23" s="2">
        <f t="shared" si="0"/>
        <v>7</v>
      </c>
      <c r="W23" s="2">
        <v>0</v>
      </c>
      <c r="X23" s="2">
        <f t="shared" si="1"/>
        <v>0</v>
      </c>
      <c r="Y23" s="144" t="s">
        <v>115</v>
      </c>
      <c r="Z23" s="144" t="s">
        <v>102</v>
      </c>
      <c r="AA23" s="145" t="s">
        <v>151</v>
      </c>
      <c r="AB23" s="144">
        <v>936</v>
      </c>
    </row>
    <row r="24" spans="1:28" s="1" customFormat="1">
      <c r="A24" s="12" t="s">
        <v>8</v>
      </c>
      <c r="B24" s="116" t="s">
        <v>163</v>
      </c>
      <c r="C24" s="4">
        <v>139.1</v>
      </c>
      <c r="D24" s="6">
        <v>0</v>
      </c>
      <c r="E24" s="28">
        <v>12304</v>
      </c>
      <c r="F24" s="4">
        <v>26</v>
      </c>
      <c r="G24" s="10">
        <v>6.5000000000000002E-2</v>
      </c>
      <c r="H24" s="11">
        <v>804.38</v>
      </c>
      <c r="I24" s="6"/>
      <c r="J24" s="10">
        <v>7.3999999999999996E-2</v>
      </c>
      <c r="K24" s="11">
        <v>916.7</v>
      </c>
      <c r="L24" s="32"/>
      <c r="M24" s="33"/>
      <c r="N24" s="34"/>
      <c r="O24" s="10">
        <v>0.28999999999999998</v>
      </c>
      <c r="P24" s="11">
        <v>3660</v>
      </c>
      <c r="Q24" s="7">
        <v>7.4900000000000001E-3</v>
      </c>
      <c r="R24" s="37">
        <v>92.24</v>
      </c>
      <c r="S24" s="10"/>
      <c r="T24" s="11"/>
      <c r="U24" s="38">
        <v>1211</v>
      </c>
      <c r="V24" s="2">
        <f t="shared" si="0"/>
        <v>10</v>
      </c>
      <c r="W24" s="2">
        <v>0</v>
      </c>
      <c r="X24" s="40">
        <v>0.04</v>
      </c>
      <c r="Y24" s="144" t="s">
        <v>100</v>
      </c>
      <c r="Z24" s="144" t="s">
        <v>102</v>
      </c>
      <c r="AA24" s="145" t="s">
        <v>152</v>
      </c>
      <c r="AB24" s="144">
        <v>250</v>
      </c>
    </row>
    <row r="25" spans="1:28">
      <c r="A25" s="194"/>
      <c r="B25" s="116"/>
      <c r="C25" s="4"/>
      <c r="D25" s="6"/>
      <c r="E25" s="28"/>
      <c r="F25" s="4"/>
      <c r="G25" s="10"/>
      <c r="H25" s="11"/>
      <c r="I25" s="6"/>
      <c r="J25" s="10"/>
      <c r="K25" s="11"/>
      <c r="L25" s="32"/>
      <c r="M25" s="33"/>
      <c r="N25" s="34"/>
      <c r="O25" s="10"/>
      <c r="P25" s="11"/>
      <c r="Q25" s="7"/>
      <c r="R25" s="37"/>
      <c r="S25" s="10"/>
      <c r="T25" s="11"/>
      <c r="U25" s="38"/>
      <c r="V25" s="2"/>
      <c r="W25" s="2"/>
      <c r="X25" s="2"/>
      <c r="Y25" s="144"/>
      <c r="Z25" s="144"/>
      <c r="AA25" s="144"/>
      <c r="AB25" s="144"/>
    </row>
    <row r="26" spans="1:28">
      <c r="A26" s="194"/>
      <c r="B26" s="116"/>
      <c r="C26" s="4"/>
      <c r="D26" s="6"/>
      <c r="E26" s="28"/>
      <c r="F26" s="4"/>
      <c r="G26" s="10"/>
      <c r="H26" s="11"/>
      <c r="I26" s="6"/>
      <c r="J26" s="10"/>
      <c r="K26" s="11"/>
      <c r="L26" s="32"/>
      <c r="M26" s="33"/>
      <c r="N26" s="34"/>
      <c r="O26" s="10"/>
      <c r="P26" s="11"/>
      <c r="Q26" s="7"/>
      <c r="R26" s="37"/>
      <c r="S26" s="10"/>
      <c r="T26" s="11"/>
      <c r="U26" s="38"/>
      <c r="V26" s="2"/>
      <c r="W26" s="2"/>
      <c r="X26" s="2"/>
      <c r="Y26" s="144"/>
      <c r="Z26" s="144"/>
      <c r="AA26" s="144"/>
      <c r="AB26" s="144"/>
    </row>
    <row r="27" spans="1:28">
      <c r="A27" s="12" t="s">
        <v>9</v>
      </c>
      <c r="B27" s="13" t="s">
        <v>59</v>
      </c>
      <c r="C27" s="4">
        <v>21</v>
      </c>
      <c r="D27" s="6"/>
      <c r="E27" s="28">
        <v>20265</v>
      </c>
      <c r="F27" s="4">
        <v>0</v>
      </c>
      <c r="G27" s="10"/>
      <c r="H27" s="11"/>
      <c r="I27" s="6"/>
      <c r="J27" s="10"/>
      <c r="K27" s="11"/>
      <c r="L27" s="32"/>
      <c r="M27" s="33"/>
      <c r="N27" s="34"/>
      <c r="O27" s="10"/>
      <c r="P27" s="11"/>
      <c r="Q27" s="7"/>
      <c r="R27" s="37"/>
      <c r="S27" s="10"/>
      <c r="T27" s="11"/>
      <c r="U27" s="38">
        <v>1424</v>
      </c>
      <c r="V27" s="2">
        <f t="shared" si="0"/>
        <v>7</v>
      </c>
      <c r="W27" s="2">
        <v>9.8000000000000007</v>
      </c>
      <c r="X27" s="2">
        <f t="shared" si="1"/>
        <v>205.8</v>
      </c>
      <c r="Y27" s="144"/>
      <c r="Z27" s="144"/>
      <c r="AA27" s="144"/>
      <c r="AB27" s="144"/>
    </row>
    <row r="28" spans="1:28">
      <c r="A28" s="12" t="s">
        <v>9</v>
      </c>
      <c r="B28" s="13" t="s">
        <v>45</v>
      </c>
      <c r="C28" s="4">
        <v>33.42</v>
      </c>
      <c r="D28" s="6">
        <v>20</v>
      </c>
      <c r="E28" s="28">
        <v>19695</v>
      </c>
      <c r="F28" s="4">
        <v>276</v>
      </c>
      <c r="G28" s="10">
        <v>0.2</v>
      </c>
      <c r="H28" s="11">
        <v>3900</v>
      </c>
      <c r="I28" s="6">
        <v>10000</v>
      </c>
      <c r="J28" s="10">
        <v>0.25</v>
      </c>
      <c r="K28" s="11">
        <v>4875</v>
      </c>
      <c r="L28" s="32"/>
      <c r="M28" s="33"/>
      <c r="N28" s="34"/>
      <c r="O28" s="10"/>
      <c r="P28" s="11"/>
      <c r="Q28" s="7"/>
      <c r="R28" s="37"/>
      <c r="S28" s="10"/>
      <c r="T28" s="11"/>
      <c r="U28" s="38">
        <v>1526</v>
      </c>
      <c r="V28" s="2">
        <f t="shared" si="0"/>
        <v>8</v>
      </c>
      <c r="W28" s="2">
        <v>1.5</v>
      </c>
      <c r="X28" s="2">
        <f t="shared" si="1"/>
        <v>50.1</v>
      </c>
      <c r="Y28" s="144" t="s">
        <v>102</v>
      </c>
      <c r="Z28" s="144" t="s">
        <v>100</v>
      </c>
      <c r="AA28" s="144" t="s">
        <v>151</v>
      </c>
      <c r="AB28" s="144">
        <v>100</v>
      </c>
    </row>
    <row r="29" spans="1:28">
      <c r="A29" s="12" t="s">
        <v>9</v>
      </c>
      <c r="B29" s="13" t="s">
        <v>58</v>
      </c>
      <c r="C29" s="4">
        <v>25</v>
      </c>
      <c r="D29" s="6"/>
      <c r="E29" s="28">
        <v>49092</v>
      </c>
      <c r="F29" s="4">
        <v>0</v>
      </c>
      <c r="G29" s="10"/>
      <c r="H29" s="11"/>
      <c r="I29" s="6"/>
      <c r="J29" s="10"/>
      <c r="K29" s="11"/>
      <c r="L29" s="32"/>
      <c r="M29" s="33"/>
      <c r="N29" s="34"/>
      <c r="O29" s="10"/>
      <c r="P29" s="11"/>
      <c r="Q29" s="7"/>
      <c r="R29" s="37"/>
      <c r="S29" s="10"/>
      <c r="T29" s="11"/>
      <c r="U29" s="38">
        <v>17704</v>
      </c>
      <c r="V29" s="2">
        <f t="shared" si="0"/>
        <v>36</v>
      </c>
      <c r="W29" s="2">
        <v>68.760000000000005</v>
      </c>
      <c r="X29" s="2">
        <f t="shared" si="1"/>
        <v>1719</v>
      </c>
      <c r="Y29" s="144"/>
      <c r="Z29" s="144"/>
      <c r="AA29" s="144"/>
      <c r="AB29" s="144"/>
    </row>
    <row r="30" spans="1:28">
      <c r="A30" s="12" t="s">
        <v>9</v>
      </c>
      <c r="B30" s="13" t="s">
        <v>62</v>
      </c>
      <c r="C30" s="4">
        <v>6</v>
      </c>
      <c r="D30" s="6"/>
      <c r="E30" s="28">
        <v>3885</v>
      </c>
      <c r="F30" s="4">
        <v>0</v>
      </c>
      <c r="G30" s="10"/>
      <c r="H30" s="11"/>
      <c r="I30" s="6"/>
      <c r="J30" s="10"/>
      <c r="K30" s="11"/>
      <c r="L30" s="32"/>
      <c r="M30" s="33"/>
      <c r="N30" s="34"/>
      <c r="O30" s="10"/>
      <c r="P30" s="11"/>
      <c r="Q30" s="7"/>
      <c r="R30" s="37"/>
      <c r="S30" s="10"/>
      <c r="T30" s="11"/>
      <c r="U30" s="38">
        <v>843</v>
      </c>
      <c r="V30" s="2">
        <f t="shared" si="0"/>
        <v>22</v>
      </c>
      <c r="W30" s="2">
        <v>100</v>
      </c>
      <c r="X30" s="2">
        <f t="shared" si="1"/>
        <v>600</v>
      </c>
      <c r="Y30" s="144"/>
      <c r="Z30" s="144"/>
      <c r="AA30" s="144"/>
      <c r="AB30" s="144"/>
    </row>
    <row r="31" spans="1:28">
      <c r="A31" s="12" t="s">
        <v>9</v>
      </c>
      <c r="B31" s="13" t="s">
        <v>61</v>
      </c>
      <c r="C31" s="4">
        <v>18.100000000000001</v>
      </c>
      <c r="D31" s="6"/>
      <c r="E31" s="28">
        <v>4316</v>
      </c>
      <c r="F31" s="4">
        <v>0</v>
      </c>
      <c r="G31" s="10"/>
      <c r="H31" s="11"/>
      <c r="I31" s="6"/>
      <c r="J31" s="10"/>
      <c r="K31" s="11"/>
      <c r="L31" s="32"/>
      <c r="M31" s="33"/>
      <c r="N31" s="34"/>
      <c r="O31" s="10"/>
      <c r="P31" s="11"/>
      <c r="Q31" s="7"/>
      <c r="R31" s="37"/>
      <c r="S31" s="10"/>
      <c r="T31" s="11"/>
      <c r="U31" s="38">
        <v>548</v>
      </c>
      <c r="V31" s="2">
        <f t="shared" si="0"/>
        <v>13</v>
      </c>
      <c r="W31" s="2">
        <v>100</v>
      </c>
      <c r="X31" s="2">
        <f t="shared" si="1"/>
        <v>1810</v>
      </c>
      <c r="Y31" s="144"/>
      <c r="Z31" s="144"/>
      <c r="AA31" s="144"/>
      <c r="AB31" s="144"/>
    </row>
    <row r="32" spans="1:28">
      <c r="A32" s="12" t="s">
        <v>9</v>
      </c>
      <c r="B32" s="13" t="s">
        <v>60</v>
      </c>
      <c r="C32" s="4">
        <v>15.2</v>
      </c>
      <c r="D32" s="6"/>
      <c r="E32" s="28">
        <v>11573</v>
      </c>
      <c r="F32" s="4">
        <v>0</v>
      </c>
      <c r="G32" s="10"/>
      <c r="H32" s="11"/>
      <c r="I32" s="6"/>
      <c r="J32" s="10"/>
      <c r="K32" s="11"/>
      <c r="L32" s="32"/>
      <c r="M32" s="33"/>
      <c r="N32" s="34"/>
      <c r="O32" s="10"/>
      <c r="P32" s="11"/>
      <c r="Q32" s="7"/>
      <c r="R32" s="37"/>
      <c r="S32" s="10"/>
      <c r="T32" s="11"/>
      <c r="U32" s="38">
        <v>5236</v>
      </c>
      <c r="V32" s="2">
        <f t="shared" si="0"/>
        <v>45</v>
      </c>
      <c r="W32" s="2">
        <v>54</v>
      </c>
      <c r="X32" s="2">
        <f t="shared" si="1"/>
        <v>820.8</v>
      </c>
      <c r="Y32" s="144"/>
      <c r="Z32" s="144"/>
      <c r="AA32" s="144"/>
      <c r="AB32" s="144"/>
    </row>
    <row r="33" spans="1:28">
      <c r="A33" s="12" t="s">
        <v>9</v>
      </c>
      <c r="B33" s="13" t="s">
        <v>63</v>
      </c>
      <c r="C33" s="4">
        <v>31.1</v>
      </c>
      <c r="D33" s="6"/>
      <c r="E33" s="28">
        <v>9053</v>
      </c>
      <c r="F33" s="4">
        <v>0</v>
      </c>
      <c r="G33" s="10"/>
      <c r="H33" s="11"/>
      <c r="I33" s="6"/>
      <c r="J33" s="10"/>
      <c r="K33" s="11"/>
      <c r="L33" s="32"/>
      <c r="M33" s="33"/>
      <c r="N33" s="34"/>
      <c r="O33" s="10"/>
      <c r="P33" s="11"/>
      <c r="Q33" s="7"/>
      <c r="R33" s="37"/>
      <c r="S33" s="10"/>
      <c r="T33" s="11"/>
      <c r="U33" s="38">
        <v>17704</v>
      </c>
      <c r="V33" s="2">
        <f t="shared" si="0"/>
        <v>196</v>
      </c>
      <c r="W33" s="2">
        <v>80</v>
      </c>
      <c r="X33" s="2">
        <f t="shared" si="1"/>
        <v>2488</v>
      </c>
      <c r="Y33" s="144"/>
      <c r="Z33" s="144"/>
      <c r="AA33" s="144"/>
      <c r="AB33" s="144"/>
    </row>
    <row r="34" spans="1:28">
      <c r="A34" s="12" t="s">
        <v>3</v>
      </c>
      <c r="B34" s="13" t="s">
        <v>48</v>
      </c>
      <c r="C34" s="4">
        <v>338.5</v>
      </c>
      <c r="D34" s="6">
        <v>3.93</v>
      </c>
      <c r="E34" s="28">
        <v>18984</v>
      </c>
      <c r="F34" s="4">
        <f>ROUND(U34*1.5,0)</f>
        <v>1682</v>
      </c>
      <c r="G34" s="30">
        <f>ROUND(H34/SUM(E34:F34,U34),3)</f>
        <v>5.3999999999999999E-2</v>
      </c>
      <c r="H34" s="11">
        <f>ROUND(432000/365,1)</f>
        <v>1183.5999999999999</v>
      </c>
      <c r="I34" s="6">
        <v>4000</v>
      </c>
      <c r="J34" s="30">
        <f>ROUND(K34/SUM(E34:F34,U34),3)</f>
        <v>6.6000000000000003E-2</v>
      </c>
      <c r="K34" s="31">
        <f>ROUND(((625.6-101)*1000)/365,1)</f>
        <v>1437.3</v>
      </c>
      <c r="L34" s="32"/>
      <c r="M34" s="33"/>
      <c r="N34" s="34"/>
      <c r="O34" s="10"/>
      <c r="P34" s="11">
        <v>5700.88</v>
      </c>
      <c r="Q34" s="7"/>
      <c r="R34" s="37">
        <v>6470.33</v>
      </c>
      <c r="S34" s="10"/>
      <c r="T34" s="11">
        <v>20192561.354625549</v>
      </c>
      <c r="U34" s="38">
        <v>1121</v>
      </c>
      <c r="V34" s="2">
        <f t="shared" si="0"/>
        <v>6</v>
      </c>
      <c r="W34" s="2">
        <v>41.5</v>
      </c>
      <c r="X34" s="2">
        <f t="shared" si="1"/>
        <v>14047.8</v>
      </c>
      <c r="Y34" s="144"/>
      <c r="Z34" s="144"/>
      <c r="AA34" s="144"/>
      <c r="AB34" s="144"/>
    </row>
    <row r="35" spans="1:28">
      <c r="A35" s="12" t="s">
        <v>3</v>
      </c>
      <c r="B35" s="13" t="s">
        <v>41</v>
      </c>
      <c r="C35" s="4">
        <v>22.28</v>
      </c>
      <c r="D35" s="6">
        <v>0</v>
      </c>
      <c r="E35" s="28">
        <v>4629</v>
      </c>
      <c r="F35" s="4">
        <f t="shared" ref="F35:F43" si="13">ROUND(U35*1.5,0)</f>
        <v>3036</v>
      </c>
      <c r="G35" s="30">
        <f t="shared" ref="G35:G43" si="14">ROUND(H35/SUM(E35:F35,U35),3)</f>
        <v>8.2000000000000003E-2</v>
      </c>
      <c r="H35" s="11">
        <f>ROUND(289000/365,1)</f>
        <v>791.8</v>
      </c>
      <c r="I35" s="6">
        <v>21000</v>
      </c>
      <c r="J35" s="30">
        <f t="shared" ref="J35:J43" si="15">ROUND(K35/SUM(E35:F35,U35),3)</f>
        <v>7.4999999999999997E-2</v>
      </c>
      <c r="K35" s="31">
        <f>ROUND(265200/365,1)</f>
        <v>726.6</v>
      </c>
      <c r="L35" s="32">
        <f>M35/(F35+E35+U35)</f>
        <v>6.9291115330617825E-2</v>
      </c>
      <c r="M35" s="33">
        <f>245046.99/365</f>
        <v>671.36161643835612</v>
      </c>
      <c r="N35" s="34">
        <f>152.52788*24</f>
        <v>3660.6691200000005</v>
      </c>
      <c r="O35" s="10"/>
      <c r="P35" s="11">
        <v>2460.38</v>
      </c>
      <c r="Q35" s="7"/>
      <c r="R35" s="37">
        <v>3556.04</v>
      </c>
      <c r="S35" s="10"/>
      <c r="T35" s="11">
        <v>5742783.6718061678</v>
      </c>
      <c r="U35" s="38">
        <v>2024</v>
      </c>
      <c r="V35" s="2">
        <f t="shared" si="0"/>
        <v>44</v>
      </c>
      <c r="W35" s="2">
        <v>74.7</v>
      </c>
      <c r="X35" s="2">
        <f t="shared" si="1"/>
        <v>1664.3</v>
      </c>
      <c r="Y35" s="146" t="s">
        <v>97</v>
      </c>
      <c r="Z35" s="146" t="s">
        <v>97</v>
      </c>
      <c r="AA35" s="145" t="s">
        <v>151</v>
      </c>
      <c r="AB35" s="144">
        <v>20</v>
      </c>
    </row>
    <row r="36" spans="1:28">
      <c r="A36" s="12" t="s">
        <v>3</v>
      </c>
      <c r="B36" s="13" t="s">
        <v>47</v>
      </c>
      <c r="C36" s="4">
        <v>17.440000000000001</v>
      </c>
      <c r="D36" s="6">
        <v>24.75</v>
      </c>
      <c r="E36" s="28">
        <v>4851</v>
      </c>
      <c r="F36" s="4">
        <f t="shared" si="13"/>
        <v>405</v>
      </c>
      <c r="G36" s="30">
        <f t="shared" si="14"/>
        <v>6.4000000000000001E-2</v>
      </c>
      <c r="H36" s="11">
        <f>ROUND(130000/365,1)</f>
        <v>356.2</v>
      </c>
      <c r="I36" s="6">
        <v>16000</v>
      </c>
      <c r="J36" s="30">
        <f t="shared" si="15"/>
        <v>7.0000000000000007E-2</v>
      </c>
      <c r="K36" s="31">
        <f>ROUND(141100/365,1)</f>
        <v>386.6</v>
      </c>
      <c r="L36" s="32"/>
      <c r="M36" s="33"/>
      <c r="N36" s="34"/>
      <c r="O36" s="10"/>
      <c r="P36" s="11">
        <v>956.78</v>
      </c>
      <c r="Q36" s="7"/>
      <c r="R36" s="37">
        <v>3880.1</v>
      </c>
      <c r="S36" s="10"/>
      <c r="T36" s="11">
        <v>5815613.2973568281</v>
      </c>
      <c r="U36" s="38">
        <v>270</v>
      </c>
      <c r="V36" s="2">
        <f t="shared" si="0"/>
        <v>6</v>
      </c>
      <c r="W36" s="2">
        <v>69.099999999999994</v>
      </c>
      <c r="X36" s="2">
        <f t="shared" si="1"/>
        <v>1205.0999999999999</v>
      </c>
      <c r="Y36" s="144"/>
      <c r="Z36" s="144"/>
      <c r="AA36" s="144"/>
      <c r="AB36" s="144"/>
    </row>
    <row r="37" spans="1:28">
      <c r="A37" s="12" t="s">
        <v>3</v>
      </c>
      <c r="B37" s="13" t="s">
        <v>50</v>
      </c>
      <c r="C37" s="4">
        <v>109.3</v>
      </c>
      <c r="D37" s="6">
        <f>19.96+13.53</f>
        <v>33.49</v>
      </c>
      <c r="E37" s="28">
        <v>79480</v>
      </c>
      <c r="F37" s="4">
        <f t="shared" si="13"/>
        <v>3678</v>
      </c>
      <c r="G37" s="30">
        <f t="shared" si="14"/>
        <v>0.20100000000000001</v>
      </c>
      <c r="H37" s="11">
        <f>ROUND(6268000/365,1)</f>
        <v>17172.599999999999</v>
      </c>
      <c r="I37" s="6">
        <v>25290</v>
      </c>
      <c r="J37" s="30">
        <f t="shared" si="15"/>
        <v>0.11</v>
      </c>
      <c r="K37" s="31">
        <f>ROUND(((3504.2-58)*1000)/365,1)</f>
        <v>9441.6</v>
      </c>
      <c r="L37" s="32"/>
      <c r="M37" s="33"/>
      <c r="N37" s="34"/>
      <c r="O37" s="10"/>
      <c r="P37" s="11">
        <v>26055.27</v>
      </c>
      <c r="Q37" s="7"/>
      <c r="R37" s="37">
        <v>61914.76</v>
      </c>
      <c r="S37" s="10"/>
      <c r="T37" s="11">
        <v>104524921.55506608</v>
      </c>
      <c r="U37" s="38">
        <v>2452</v>
      </c>
      <c r="V37" s="2">
        <f t="shared" si="0"/>
        <v>3</v>
      </c>
      <c r="W37" s="2">
        <v>19.899999999999999</v>
      </c>
      <c r="X37" s="2">
        <f t="shared" si="1"/>
        <v>2175.1</v>
      </c>
      <c r="Y37" s="144"/>
      <c r="Z37" s="144"/>
      <c r="AA37" s="144"/>
      <c r="AB37" s="144"/>
    </row>
    <row r="38" spans="1:28">
      <c r="A38" s="12" t="s">
        <v>3</v>
      </c>
      <c r="B38" s="13" t="s">
        <v>43</v>
      </c>
      <c r="C38" s="4">
        <v>33.9</v>
      </c>
      <c r="D38" s="6">
        <v>35.57</v>
      </c>
      <c r="E38" s="28">
        <v>9954</v>
      </c>
      <c r="F38" s="4">
        <f t="shared" si="13"/>
        <v>4680</v>
      </c>
      <c r="G38" s="30">
        <f t="shared" si="14"/>
        <v>0.08</v>
      </c>
      <c r="H38" s="11">
        <f>ROUND(516000/365,1)</f>
        <v>1413.7</v>
      </c>
      <c r="I38" s="6">
        <v>16200</v>
      </c>
      <c r="J38" s="30">
        <f t="shared" si="15"/>
        <v>8.7999999999999995E-2</v>
      </c>
      <c r="K38" s="31">
        <f>ROUND(570000/365,1)</f>
        <v>1561.6</v>
      </c>
      <c r="L38" s="32">
        <f>M38/(F38+E38+U38)</f>
        <v>1.3803009470372102E-2</v>
      </c>
      <c r="M38" s="33">
        <f>89446.4/365</f>
        <v>245.0586301369863</v>
      </c>
      <c r="N38" s="34">
        <f>46.8*24</f>
        <v>1123.1999999999998</v>
      </c>
      <c r="O38" s="10"/>
      <c r="P38" s="11">
        <v>4688.8999999999996</v>
      </c>
      <c r="Q38" s="7"/>
      <c r="R38" s="37">
        <v>7741.8</v>
      </c>
      <c r="S38" s="10"/>
      <c r="T38" s="11">
        <v>11730693.856828194</v>
      </c>
      <c r="U38" s="38">
        <v>3120</v>
      </c>
      <c r="V38" s="2">
        <f t="shared" si="0"/>
        <v>31</v>
      </c>
      <c r="W38" s="2">
        <v>32</v>
      </c>
      <c r="X38" s="2">
        <f t="shared" si="1"/>
        <v>1084.8</v>
      </c>
      <c r="Y38" s="146" t="s">
        <v>106</v>
      </c>
      <c r="Z38" s="146" t="s">
        <v>97</v>
      </c>
      <c r="AA38" s="145" t="s">
        <v>151</v>
      </c>
      <c r="AB38" s="144">
        <v>4.9000000000000004</v>
      </c>
    </row>
    <row r="39" spans="1:28">
      <c r="A39" s="12" t="s">
        <v>3</v>
      </c>
      <c r="B39" s="13" t="s">
        <v>31</v>
      </c>
      <c r="C39" s="4">
        <v>117.27</v>
      </c>
      <c r="D39" s="6">
        <f>2.39+4.15</f>
        <v>6.5400000000000009</v>
      </c>
      <c r="E39" s="28">
        <v>8276</v>
      </c>
      <c r="F39" s="4">
        <f t="shared" si="13"/>
        <v>1767</v>
      </c>
      <c r="G39" s="30">
        <f t="shared" si="14"/>
        <v>0.222</v>
      </c>
      <c r="H39" s="11">
        <f>ROUND(908000/365,1)</f>
        <v>2487.6999999999998</v>
      </c>
      <c r="I39" s="6">
        <v>8000</v>
      </c>
      <c r="J39" s="30">
        <f t="shared" si="15"/>
        <v>6.6000000000000003E-2</v>
      </c>
      <c r="K39" s="31">
        <f>ROUND(((557.8-287)*1000)/365,1)</f>
        <v>741.9</v>
      </c>
      <c r="L39" s="32">
        <f>M39/(F39+E39+U39)</f>
        <v>4.2613470584142013E-2</v>
      </c>
      <c r="M39" s="33">
        <f>174530.5/365</f>
        <v>478.16575342465751</v>
      </c>
      <c r="N39" s="34">
        <f>51*24</f>
        <v>1224</v>
      </c>
      <c r="O39" s="10"/>
      <c r="P39" s="11">
        <v>3174.41</v>
      </c>
      <c r="Q39" s="7"/>
      <c r="R39" s="37">
        <v>3735.94</v>
      </c>
      <c r="S39" s="10"/>
      <c r="T39" s="11">
        <v>13155830.585903084</v>
      </c>
      <c r="U39" s="38">
        <v>1178</v>
      </c>
      <c r="V39" s="2">
        <f t="shared" si="0"/>
        <v>14</v>
      </c>
      <c r="W39" s="2">
        <v>49.3</v>
      </c>
      <c r="X39" s="2">
        <f t="shared" si="1"/>
        <v>5781.4</v>
      </c>
      <c r="Y39" s="146" t="s">
        <v>100</v>
      </c>
      <c r="Z39" s="146" t="s">
        <v>100</v>
      </c>
      <c r="AA39" s="145" t="s">
        <v>152</v>
      </c>
      <c r="AB39" s="144">
        <v>500</v>
      </c>
    </row>
    <row r="40" spans="1:28">
      <c r="A40" s="12" t="s">
        <v>3</v>
      </c>
      <c r="B40" s="13" t="s">
        <v>49</v>
      </c>
      <c r="C40" s="4">
        <v>71.86</v>
      </c>
      <c r="D40" s="6">
        <f>2.16+0.78</f>
        <v>2.9400000000000004</v>
      </c>
      <c r="E40" s="28">
        <v>5502</v>
      </c>
      <c r="F40" s="4">
        <f t="shared" si="13"/>
        <v>489</v>
      </c>
      <c r="G40" s="30">
        <f t="shared" si="14"/>
        <v>5.8999999999999997E-2</v>
      </c>
      <c r="H40" s="11">
        <f>ROUND(137000/365,1)</f>
        <v>375.3</v>
      </c>
      <c r="I40" s="6">
        <v>1800</v>
      </c>
      <c r="J40" s="30">
        <f t="shared" si="15"/>
        <v>8.7999999999999995E-2</v>
      </c>
      <c r="K40" s="31">
        <f>ROUND(202200/365,1)</f>
        <v>554</v>
      </c>
      <c r="L40" s="32"/>
      <c r="M40" s="33"/>
      <c r="N40" s="34"/>
      <c r="O40" s="10"/>
      <c r="P40" s="11">
        <v>2301.14</v>
      </c>
      <c r="Q40" s="7"/>
      <c r="R40" s="37">
        <v>2014.96</v>
      </c>
      <c r="S40" s="10"/>
      <c r="T40" s="11">
        <v>5405230.5066079292</v>
      </c>
      <c r="U40" s="38">
        <v>326</v>
      </c>
      <c r="V40" s="2">
        <f t="shared" si="0"/>
        <v>6</v>
      </c>
      <c r="W40" s="2">
        <v>14.1</v>
      </c>
      <c r="X40" s="2">
        <f t="shared" si="1"/>
        <v>1013.2</v>
      </c>
      <c r="Y40" s="144"/>
      <c r="Z40" s="144"/>
      <c r="AA40" s="144"/>
      <c r="AB40" s="144"/>
    </row>
    <row r="41" spans="1:28">
      <c r="A41" s="12" t="s">
        <v>3</v>
      </c>
      <c r="B41" s="13" t="s">
        <v>42</v>
      </c>
      <c r="C41" s="4">
        <v>17.22</v>
      </c>
      <c r="D41" s="6">
        <f>3.454+9.397</f>
        <v>12.851000000000001</v>
      </c>
      <c r="E41" s="28">
        <v>6357</v>
      </c>
      <c r="F41" s="4">
        <f t="shared" si="13"/>
        <v>4013</v>
      </c>
      <c r="G41" s="30">
        <f t="shared" si="14"/>
        <v>9.7000000000000003E-2</v>
      </c>
      <c r="H41" s="11">
        <f>ROUND(463000/365,1)</f>
        <v>1268.5</v>
      </c>
      <c r="I41" s="6">
        <v>21000</v>
      </c>
      <c r="J41" s="30">
        <f t="shared" si="15"/>
        <v>9.9000000000000005E-2</v>
      </c>
      <c r="K41" s="31">
        <f>ROUND(((559.7-90)*1000)/365,1)</f>
        <v>1286.8</v>
      </c>
      <c r="L41" s="32">
        <f>M41/(F41+E41+U41)</f>
        <v>4.7228361257396677E-2</v>
      </c>
      <c r="M41" s="33">
        <f>224874.3/365</f>
        <v>616.09397260273965</v>
      </c>
      <c r="N41" s="34">
        <f>59.8*24</f>
        <v>1435.1999999999998</v>
      </c>
      <c r="O41" s="10"/>
      <c r="P41" s="11">
        <v>4274.42</v>
      </c>
      <c r="Q41" s="7"/>
      <c r="R41" s="37">
        <v>6549.94</v>
      </c>
      <c r="S41" s="10"/>
      <c r="T41" s="11">
        <v>7498810.6696035238</v>
      </c>
      <c r="U41" s="38">
        <v>2675</v>
      </c>
      <c r="V41" s="2">
        <f t="shared" si="0"/>
        <v>42</v>
      </c>
      <c r="W41" s="2">
        <v>24.2</v>
      </c>
      <c r="X41" s="2">
        <f t="shared" si="1"/>
        <v>416.7</v>
      </c>
      <c r="Y41" s="146" t="s">
        <v>97</v>
      </c>
      <c r="Z41" s="146" t="s">
        <v>114</v>
      </c>
      <c r="AA41" s="145" t="s">
        <v>151</v>
      </c>
      <c r="AB41" s="144">
        <v>31</v>
      </c>
    </row>
    <row r="42" spans="1:28">
      <c r="A42" s="12" t="s">
        <v>3</v>
      </c>
      <c r="B42" s="13" t="s">
        <v>46</v>
      </c>
      <c r="C42" s="4">
        <v>14.81</v>
      </c>
      <c r="D42" s="6">
        <v>0</v>
      </c>
      <c r="E42" s="28">
        <v>5608</v>
      </c>
      <c r="F42" s="4">
        <f t="shared" si="13"/>
        <v>1451</v>
      </c>
      <c r="G42" s="30">
        <f t="shared" si="14"/>
        <v>8.4000000000000005E-2</v>
      </c>
      <c r="H42" s="11">
        <f>ROUND(246000/365,1)</f>
        <v>674</v>
      </c>
      <c r="I42" s="6">
        <v>50000</v>
      </c>
      <c r="J42" s="30">
        <f t="shared" si="15"/>
        <v>8.7999999999999995E-2</v>
      </c>
      <c r="K42" s="31">
        <f>ROUND(256500/365,1)</f>
        <v>702.7</v>
      </c>
      <c r="L42" s="32"/>
      <c r="M42" s="33"/>
      <c r="N42" s="34"/>
      <c r="O42" s="10"/>
      <c r="P42" s="11">
        <v>2741.4</v>
      </c>
      <c r="Q42" s="7"/>
      <c r="R42" s="37">
        <v>4945.43</v>
      </c>
      <c r="S42" s="10"/>
      <c r="T42" s="11">
        <v>8465710.0792951528</v>
      </c>
      <c r="U42" s="38">
        <v>967</v>
      </c>
      <c r="V42" s="2">
        <f t="shared" si="0"/>
        <v>17</v>
      </c>
      <c r="W42" s="2">
        <v>41.4</v>
      </c>
      <c r="X42" s="2">
        <f t="shared" si="1"/>
        <v>613.1</v>
      </c>
      <c r="Y42" s="144"/>
      <c r="Z42" s="144"/>
      <c r="AA42" s="144"/>
      <c r="AB42" s="144"/>
    </row>
    <row r="43" spans="1:28">
      <c r="A43" s="12" t="s">
        <v>3</v>
      </c>
      <c r="B43" s="13" t="s">
        <v>51</v>
      </c>
      <c r="C43" s="4">
        <v>20.72</v>
      </c>
      <c r="D43" s="6">
        <f>9.72+24.75</f>
        <v>34.47</v>
      </c>
      <c r="E43" s="28">
        <v>4183</v>
      </c>
      <c r="F43" s="4">
        <f t="shared" si="13"/>
        <v>5276</v>
      </c>
      <c r="G43" s="30">
        <f t="shared" si="14"/>
        <v>8.7999999999999995E-2</v>
      </c>
      <c r="H43" s="11">
        <f>ROUND(417000/365,1)</f>
        <v>1142.5</v>
      </c>
      <c r="I43" s="6">
        <v>1834</v>
      </c>
      <c r="J43" s="30">
        <f t="shared" si="15"/>
        <v>7.6999999999999999E-2</v>
      </c>
      <c r="K43" s="31">
        <f>ROUND(((445.8-83)*1000)/365,1)</f>
        <v>994</v>
      </c>
      <c r="L43" s="32"/>
      <c r="M43" s="33"/>
      <c r="N43" s="34"/>
      <c r="O43" s="10"/>
      <c r="P43" s="11">
        <v>1547.94</v>
      </c>
      <c r="Q43" s="7"/>
      <c r="R43" s="37">
        <v>3658.44</v>
      </c>
      <c r="S43" s="10"/>
      <c r="T43" s="11">
        <v>9381241.176211454</v>
      </c>
      <c r="U43" s="38">
        <v>3517</v>
      </c>
      <c r="V43" s="2">
        <f t="shared" si="0"/>
        <v>84</v>
      </c>
      <c r="W43" s="2">
        <v>0</v>
      </c>
      <c r="X43" s="2">
        <f t="shared" si="1"/>
        <v>0</v>
      </c>
      <c r="Y43" s="144"/>
      <c r="Z43" s="144"/>
      <c r="AA43" s="144"/>
      <c r="AB43" s="144"/>
    </row>
    <row r="44" spans="1:28">
      <c r="A44" s="12" t="s">
        <v>7</v>
      </c>
      <c r="B44" s="13" t="s">
        <v>38</v>
      </c>
      <c r="C44" s="4">
        <v>3.6</v>
      </c>
      <c r="D44" s="6">
        <v>1</v>
      </c>
      <c r="E44" s="28">
        <v>3553</v>
      </c>
      <c r="F44" s="4">
        <v>0</v>
      </c>
      <c r="G44" s="10">
        <v>8.8999999999999996E-2</v>
      </c>
      <c r="H44" s="11">
        <v>315.89999999999998</v>
      </c>
      <c r="I44" s="6">
        <v>1180</v>
      </c>
      <c r="J44" s="10">
        <v>0.13200000000000001</v>
      </c>
      <c r="K44" s="11">
        <v>469.7</v>
      </c>
      <c r="L44" s="32">
        <f>AVERAGE(L35:L41)</f>
        <v>4.3233989160632154E-2</v>
      </c>
      <c r="M44" s="41">
        <f>L44*(E44+F44+U44)</f>
        <v>192.26154979733118</v>
      </c>
      <c r="N44" s="34">
        <v>1361.64</v>
      </c>
      <c r="O44" s="10">
        <v>0.443</v>
      </c>
      <c r="P44" s="11">
        <v>1575</v>
      </c>
      <c r="Q44" s="7">
        <v>1.8500000000000001E-3</v>
      </c>
      <c r="R44" s="37">
        <v>6.5730000000000004</v>
      </c>
      <c r="S44" s="10">
        <v>140</v>
      </c>
      <c r="T44" s="11">
        <v>3935139</v>
      </c>
      <c r="U44" s="38">
        <v>894</v>
      </c>
      <c r="V44" s="2">
        <f>IF(ISERR(ROUND(U44/E44*100,0)),"NoData",ROUND(U44/E44*100,0))</f>
        <v>25</v>
      </c>
      <c r="W44" s="2">
        <v>0.6</v>
      </c>
      <c r="X44" s="2">
        <f t="shared" si="1"/>
        <v>2.2000000000000002</v>
      </c>
      <c r="Y44" s="146" t="s">
        <v>103</v>
      </c>
      <c r="Z44" s="146" t="s">
        <v>105</v>
      </c>
      <c r="AA44" s="145" t="s">
        <v>152</v>
      </c>
      <c r="AB44" s="144">
        <v>1</v>
      </c>
    </row>
    <row r="45" spans="1:28">
      <c r="A45" s="12" t="s">
        <v>7</v>
      </c>
      <c r="B45" s="13" t="s">
        <v>37</v>
      </c>
      <c r="C45" s="4">
        <v>3.3</v>
      </c>
      <c r="D45" s="6">
        <v>1</v>
      </c>
      <c r="E45" s="28">
        <v>3462</v>
      </c>
      <c r="F45" s="4">
        <v>0</v>
      </c>
      <c r="G45" s="10">
        <v>0.13600000000000001</v>
      </c>
      <c r="H45" s="11">
        <v>471.73700000000002</v>
      </c>
      <c r="I45" s="6">
        <v>3750</v>
      </c>
      <c r="J45" s="10">
        <v>0.14000000000000001</v>
      </c>
      <c r="K45" s="11">
        <v>485.27</v>
      </c>
      <c r="L45" s="32">
        <f>L44</f>
        <v>4.3233989160632154E-2</v>
      </c>
      <c r="M45" s="41">
        <f>L45*(E45+F45+U45)</f>
        <v>166.66702821423695</v>
      </c>
      <c r="N45" s="34">
        <v>1369.86</v>
      </c>
      <c r="O45" s="10">
        <v>0.42199999999999999</v>
      </c>
      <c r="P45" s="11">
        <v>1461</v>
      </c>
      <c r="Q45" s="7">
        <v>1.9E-3</v>
      </c>
      <c r="R45" s="37">
        <v>6.5730000000000004</v>
      </c>
      <c r="S45" s="10">
        <v>140</v>
      </c>
      <c r="T45" s="11">
        <v>3731752</v>
      </c>
      <c r="U45" s="38">
        <v>393</v>
      </c>
      <c r="V45" s="2">
        <f t="shared" ref="V45" si="16">IF(ISERR(ROUND(U45/E45*100,0)),"NoData",ROUND(U45/E45*100,0))</f>
        <v>11</v>
      </c>
      <c r="W45" s="2">
        <v>0.08</v>
      </c>
      <c r="X45" s="2">
        <f t="shared" si="1"/>
        <v>0.3</v>
      </c>
      <c r="Y45" s="146" t="s">
        <v>98</v>
      </c>
      <c r="Z45" s="146" t="s">
        <v>105</v>
      </c>
      <c r="AA45" s="145" t="s">
        <v>152</v>
      </c>
      <c r="AB45" s="144">
        <v>1</v>
      </c>
    </row>
    <row r="46" spans="1:28">
      <c r="F46" s="36"/>
    </row>
    <row r="47" spans="1:28">
      <c r="A47" t="s">
        <v>78</v>
      </c>
    </row>
    <row r="48" spans="1:28">
      <c r="A48" t="s">
        <v>79</v>
      </c>
    </row>
    <row r="51" spans="1:1">
      <c r="A51" t="s">
        <v>83</v>
      </c>
    </row>
    <row r="52" spans="1:1">
      <c r="A52" t="s">
        <v>84</v>
      </c>
    </row>
  </sheetData>
  <autoFilter ref="A2:AB52" xr:uid="{00000000-0009-0000-0000-000001000000}"/>
  <sortState ref="W3:Z45">
    <sortCondition ref="Z3:Z45"/>
  </sortState>
  <mergeCells count="1">
    <mergeCell ref="Y1:AB1"/>
  </mergeCells>
  <dataValidations count="1">
    <dataValidation type="whole" operator="greaterThan" allowBlank="1" showInputMessage="1" showErrorMessage="1" sqref="AB3:AB7 AB15:AB45" xr:uid="{00000000-0002-0000-0100-000000000000}">
      <formula1>0</formula1>
    </dataValidation>
  </dataValidations>
  <pageMargins left="0.7" right="0.7" top="0.75" bottom="0.75" header="0.3" footer="0.3"/>
  <pageSetup paperSize="5033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Q49"/>
  <sheetViews>
    <sheetView zoomScale="70" zoomScaleNormal="70" workbookViewId="0">
      <selection activeCell="H43" sqref="H43"/>
    </sheetView>
  </sheetViews>
  <sheetFormatPr defaultRowHeight="15"/>
  <cols>
    <col min="1" max="2" width="9.140625" style="14"/>
    <col min="3" max="3" width="22.7109375" style="14" customWidth="1"/>
    <col min="4" max="4" width="12.28515625" style="14" bestFit="1" customWidth="1"/>
    <col min="5" max="5" width="12" style="14" customWidth="1"/>
    <col min="6" max="6" width="19.85546875" style="14" customWidth="1"/>
    <col min="7" max="7" width="10.140625" style="14" customWidth="1"/>
    <col min="8" max="8" width="24.140625" style="14" customWidth="1"/>
    <col min="9" max="9" width="10.7109375" style="14" customWidth="1"/>
    <col min="10" max="10" width="11.140625" style="14" customWidth="1"/>
    <col min="11" max="11" width="10.28515625" style="14" customWidth="1"/>
    <col min="12" max="12" width="15.42578125" style="14" customWidth="1"/>
    <col min="13" max="13" width="10.28515625" style="14" customWidth="1"/>
    <col min="14" max="14" width="8.85546875" style="14" customWidth="1"/>
    <col min="15" max="16384" width="9.140625" style="14"/>
  </cols>
  <sheetData>
    <row r="7" spans="3:15" ht="19.5">
      <c r="C7" s="152" t="s">
        <v>212</v>
      </c>
      <c r="D7" s="151"/>
      <c r="E7" s="151"/>
      <c r="F7" s="151"/>
      <c r="G7" s="151"/>
      <c r="H7" s="151"/>
      <c r="I7" s="151"/>
      <c r="J7" s="150"/>
      <c r="K7" s="150"/>
      <c r="L7" s="150"/>
    </row>
    <row r="9" spans="3:15" ht="18.75">
      <c r="H9" s="154" t="s">
        <v>213</v>
      </c>
    </row>
    <row r="10" spans="3:15" ht="15.75" thickBot="1"/>
    <row r="11" spans="3:15" ht="28.9" customHeight="1" thickBot="1">
      <c r="E11" s="112" t="s">
        <v>86</v>
      </c>
      <c r="G11" s="112" t="s">
        <v>86</v>
      </c>
      <c r="I11" s="112" t="s">
        <v>86</v>
      </c>
    </row>
    <row r="12" spans="3:15" s="15" customFormat="1" ht="45.75" thickBot="1">
      <c r="C12" s="109" t="s">
        <v>87</v>
      </c>
      <c r="D12" s="110" t="s">
        <v>88</v>
      </c>
      <c r="E12" s="112" t="s">
        <v>89</v>
      </c>
      <c r="F12" s="114" t="s">
        <v>90</v>
      </c>
      <c r="G12" s="112" t="s">
        <v>91</v>
      </c>
      <c r="H12" s="114" t="s">
        <v>92</v>
      </c>
      <c r="I12" s="112" t="s">
        <v>93</v>
      </c>
      <c r="J12" s="16"/>
      <c r="K12" s="16"/>
      <c r="L12" s="16"/>
      <c r="M12" s="16"/>
      <c r="N12" s="16"/>
      <c r="O12" s="16"/>
    </row>
    <row r="13" spans="3:15" ht="15.75" thickBot="1">
      <c r="C13" s="24" t="s">
        <v>94</v>
      </c>
      <c r="D13" s="111">
        <v>0.01</v>
      </c>
      <c r="E13" s="113">
        <v>0.01</v>
      </c>
      <c r="F13" s="115">
        <f t="shared" ref="F13:F34" si="0">H13/10</f>
        <v>1.0000000000000001E-9</v>
      </c>
      <c r="G13" s="113">
        <v>0.01</v>
      </c>
      <c r="H13" s="115">
        <v>1E-8</v>
      </c>
      <c r="I13" s="113">
        <v>0.01</v>
      </c>
      <c r="J13" s="17"/>
      <c r="K13" s="17"/>
      <c r="L13" s="17"/>
      <c r="M13" s="17"/>
    </row>
    <row r="14" spans="3:15" ht="15.75" thickBot="1">
      <c r="C14" s="24" t="s">
        <v>95</v>
      </c>
      <c r="D14" s="111">
        <v>0.05</v>
      </c>
      <c r="E14" s="113">
        <v>0.05</v>
      </c>
      <c r="F14" s="115">
        <f t="shared" si="0"/>
        <v>1E-8</v>
      </c>
      <c r="G14" s="113">
        <v>0.05</v>
      </c>
      <c r="H14" s="115">
        <v>9.9999999999999995E-8</v>
      </c>
      <c r="I14" s="113">
        <v>0.05</v>
      </c>
      <c r="J14" s="17"/>
      <c r="K14" s="17"/>
      <c r="L14" s="17"/>
      <c r="M14" s="17"/>
    </row>
    <row r="15" spans="3:15" ht="15.75" thickBot="1">
      <c r="C15" s="24" t="s">
        <v>96</v>
      </c>
      <c r="D15" s="111">
        <v>0.1</v>
      </c>
      <c r="E15" s="113">
        <v>0.1</v>
      </c>
      <c r="F15" s="115">
        <f t="shared" si="0"/>
        <v>9.9999999999999995E-8</v>
      </c>
      <c r="G15" s="113">
        <v>0.1</v>
      </c>
      <c r="H15" s="115">
        <v>9.9999999999999995E-7</v>
      </c>
      <c r="I15" s="113">
        <v>0.1</v>
      </c>
      <c r="J15" s="17"/>
      <c r="K15" s="17"/>
      <c r="L15" s="17"/>
      <c r="M15" s="17"/>
    </row>
    <row r="16" spans="3:15" ht="15.75" thickBot="1">
      <c r="C16" s="24" t="s">
        <v>97</v>
      </c>
      <c r="D16" s="111">
        <v>0.35</v>
      </c>
      <c r="E16" s="113">
        <v>0.35</v>
      </c>
      <c r="F16" s="115">
        <f t="shared" si="0"/>
        <v>1.0000000000000001E-5</v>
      </c>
      <c r="G16" s="113">
        <v>1</v>
      </c>
      <c r="H16" s="115">
        <v>1E-4</v>
      </c>
      <c r="I16" s="113">
        <v>1</v>
      </c>
      <c r="J16" s="17"/>
      <c r="K16" s="17"/>
      <c r="L16" s="17"/>
      <c r="M16" s="17"/>
    </row>
    <row r="17" spans="3:17" ht="15.75" thickBot="1">
      <c r="C17" s="24" t="s">
        <v>98</v>
      </c>
      <c r="D17" s="111">
        <v>0.45</v>
      </c>
      <c r="E17" s="113">
        <v>0.45</v>
      </c>
      <c r="F17" s="115">
        <f t="shared" si="0"/>
        <v>1E-4</v>
      </c>
      <c r="G17" s="113">
        <v>5</v>
      </c>
      <c r="H17" s="115">
        <v>1E-3</v>
      </c>
      <c r="I17" s="113">
        <v>5</v>
      </c>
      <c r="J17" s="17"/>
      <c r="K17" s="17"/>
      <c r="L17" s="17"/>
      <c r="M17" s="17"/>
    </row>
    <row r="18" spans="3:17" ht="15.75" thickBot="1">
      <c r="C18" s="24" t="s">
        <v>99</v>
      </c>
      <c r="D18" s="111">
        <v>0.05</v>
      </c>
      <c r="E18" s="113">
        <v>0.05</v>
      </c>
      <c r="F18" s="115">
        <f t="shared" si="0"/>
        <v>5.0000000000000008E-7</v>
      </c>
      <c r="G18" s="113">
        <v>0.25</v>
      </c>
      <c r="H18" s="115">
        <v>5.0000000000000004E-6</v>
      </c>
      <c r="I18" s="113">
        <v>0.25</v>
      </c>
      <c r="J18" s="17"/>
      <c r="K18" s="17"/>
      <c r="L18" s="17"/>
      <c r="M18" s="17"/>
    </row>
    <row r="19" spans="3:17" ht="15.75" thickBot="1">
      <c r="C19" s="24" t="s">
        <v>100</v>
      </c>
      <c r="D19" s="111">
        <v>0.05</v>
      </c>
      <c r="E19" s="113">
        <v>0.05</v>
      </c>
      <c r="F19" s="115">
        <f t="shared" si="0"/>
        <v>5.0000000000000008E-7</v>
      </c>
      <c r="G19" s="113">
        <v>0.25</v>
      </c>
      <c r="H19" s="115">
        <v>5.0000000000000004E-6</v>
      </c>
      <c r="I19" s="113">
        <v>0.25</v>
      </c>
      <c r="J19" s="17"/>
      <c r="K19" s="17"/>
      <c r="L19" s="17"/>
      <c r="M19" s="17"/>
      <c r="P19" s="18"/>
      <c r="Q19" s="18"/>
    </row>
    <row r="20" spans="3:17" ht="15.75" thickBot="1">
      <c r="C20" s="24" t="s">
        <v>101</v>
      </c>
      <c r="D20" s="111">
        <v>0.1</v>
      </c>
      <c r="E20" s="113">
        <v>0.1</v>
      </c>
      <c r="F20" s="115">
        <f t="shared" si="0"/>
        <v>9.9999999999999995E-8</v>
      </c>
      <c r="G20" s="113">
        <v>0.1</v>
      </c>
      <c r="H20" s="115">
        <v>9.9999999999999995E-7</v>
      </c>
      <c r="I20" s="113">
        <v>0.1</v>
      </c>
      <c r="J20" s="17"/>
      <c r="K20" s="17"/>
      <c r="L20" s="17"/>
      <c r="M20" s="17"/>
    </row>
    <row r="21" spans="3:17" ht="15.75" thickBot="1">
      <c r="C21" s="24" t="s">
        <v>102</v>
      </c>
      <c r="D21" s="111">
        <v>0.2</v>
      </c>
      <c r="E21" s="113">
        <v>0.2</v>
      </c>
      <c r="F21" s="115">
        <f t="shared" si="0"/>
        <v>1.0000000000000002E-6</v>
      </c>
      <c r="G21" s="113">
        <v>0.5</v>
      </c>
      <c r="H21" s="115">
        <v>1.0000000000000001E-5</v>
      </c>
      <c r="I21" s="113">
        <v>0.5</v>
      </c>
      <c r="J21" s="17"/>
      <c r="K21" s="17"/>
      <c r="L21" s="17"/>
      <c r="M21" s="17"/>
    </row>
    <row r="22" spans="3:17" ht="15.75" thickBot="1">
      <c r="C22" s="24" t="s">
        <v>103</v>
      </c>
      <c r="D22" s="111">
        <v>0.4</v>
      </c>
      <c r="E22" s="113">
        <v>0.4</v>
      </c>
      <c r="F22" s="115">
        <f t="shared" si="0"/>
        <v>5.0000000000000001E-4</v>
      </c>
      <c r="G22" s="113">
        <v>7.5</v>
      </c>
      <c r="H22" s="115">
        <v>5.0000000000000001E-3</v>
      </c>
      <c r="I22" s="113">
        <v>7.5</v>
      </c>
      <c r="J22" s="17"/>
      <c r="K22" s="17"/>
      <c r="L22" s="17"/>
      <c r="M22" s="17"/>
      <c r="N22" s="19"/>
      <c r="O22" s="19"/>
    </row>
    <row r="23" spans="3:17" ht="15.75" thickBot="1">
      <c r="C23" s="24" t="s">
        <v>104</v>
      </c>
      <c r="D23" s="111">
        <v>0.2</v>
      </c>
      <c r="E23" s="113">
        <v>0.2</v>
      </c>
      <c r="F23" s="115">
        <f t="shared" si="0"/>
        <v>1.0000000000000002E-6</v>
      </c>
      <c r="G23" s="113">
        <v>0.5</v>
      </c>
      <c r="H23" s="115">
        <v>1.0000000000000001E-5</v>
      </c>
      <c r="I23" s="113">
        <v>0.5</v>
      </c>
      <c r="J23" s="17"/>
      <c r="K23" s="17"/>
      <c r="L23" s="17"/>
      <c r="M23" s="17"/>
    </row>
    <row r="24" spans="3:17" ht="15.75" thickBot="1">
      <c r="C24" s="24" t="s">
        <v>105</v>
      </c>
      <c r="D24" s="111">
        <v>0.4</v>
      </c>
      <c r="E24" s="113">
        <v>0.4</v>
      </c>
      <c r="F24" s="115">
        <f t="shared" si="0"/>
        <v>5.0000000000000001E-4</v>
      </c>
      <c r="G24" s="113">
        <v>7.5</v>
      </c>
      <c r="H24" s="115">
        <v>5.0000000000000001E-3</v>
      </c>
      <c r="I24" s="113">
        <v>7.5</v>
      </c>
      <c r="J24" s="17"/>
      <c r="K24" s="17"/>
      <c r="L24" s="17"/>
      <c r="M24" s="17"/>
    </row>
    <row r="25" spans="3:17" ht="15.75" thickBot="1">
      <c r="C25" s="24" t="s">
        <v>106</v>
      </c>
      <c r="D25" s="111">
        <v>0.2</v>
      </c>
      <c r="E25" s="113">
        <v>0.2</v>
      </c>
      <c r="F25" s="115">
        <f t="shared" si="0"/>
        <v>1.0000000000000002E-6</v>
      </c>
      <c r="G25" s="113">
        <v>0.5</v>
      </c>
      <c r="H25" s="115">
        <v>1.0000000000000001E-5</v>
      </c>
      <c r="I25" s="113">
        <v>0.5</v>
      </c>
      <c r="J25" s="17"/>
      <c r="K25" s="17"/>
      <c r="L25" s="17"/>
      <c r="M25" s="17"/>
    </row>
    <row r="26" spans="3:17" ht="15.75" thickBot="1">
      <c r="C26" s="24" t="s">
        <v>107</v>
      </c>
      <c r="D26" s="111">
        <v>0.2</v>
      </c>
      <c r="E26" s="113">
        <v>0.2</v>
      </c>
      <c r="F26" s="115">
        <f t="shared" si="0"/>
        <v>1.0000000000000002E-6</v>
      </c>
      <c r="G26" s="113">
        <v>0.5</v>
      </c>
      <c r="H26" s="115">
        <v>1.0000000000000001E-5</v>
      </c>
      <c r="I26" s="113">
        <v>0.5</v>
      </c>
      <c r="J26" s="17"/>
      <c r="K26" s="17"/>
      <c r="L26" s="17"/>
      <c r="M26" s="17"/>
    </row>
    <row r="27" spans="3:17" ht="15.75" thickBot="1">
      <c r="C27" s="24" t="s">
        <v>108</v>
      </c>
      <c r="D27" s="111">
        <v>0.2</v>
      </c>
      <c r="E27" s="113">
        <v>0.2</v>
      </c>
      <c r="F27" s="115">
        <f t="shared" si="0"/>
        <v>1E-8</v>
      </c>
      <c r="G27" s="113">
        <v>0.05</v>
      </c>
      <c r="H27" s="115">
        <v>9.9999999999999995E-8</v>
      </c>
      <c r="I27" s="113">
        <v>0.05</v>
      </c>
      <c r="J27" s="17"/>
      <c r="K27" s="17"/>
      <c r="L27" s="17"/>
      <c r="M27" s="17"/>
    </row>
    <row r="28" spans="3:17" ht="15.75" thickBot="1">
      <c r="C28" s="24" t="s">
        <v>109</v>
      </c>
      <c r="D28" s="111">
        <v>0.05</v>
      </c>
      <c r="E28" s="113">
        <v>0.05</v>
      </c>
      <c r="F28" s="115">
        <f t="shared" si="0"/>
        <v>1E-8</v>
      </c>
      <c r="G28" s="113">
        <v>0.05</v>
      </c>
      <c r="H28" s="115">
        <v>9.9999999999999995E-8</v>
      </c>
      <c r="I28" s="113">
        <v>0.05</v>
      </c>
      <c r="J28" s="17"/>
      <c r="K28" s="17"/>
      <c r="L28" s="17"/>
      <c r="M28" s="17"/>
    </row>
    <row r="29" spans="3:17" ht="15.75" thickBot="1">
      <c r="C29" s="24" t="s">
        <v>110</v>
      </c>
      <c r="D29" s="111">
        <v>0.05</v>
      </c>
      <c r="E29" s="113">
        <v>0.05</v>
      </c>
      <c r="F29" s="115">
        <f t="shared" si="0"/>
        <v>1E-8</v>
      </c>
      <c r="G29" s="113">
        <v>0.05</v>
      </c>
      <c r="H29" s="115">
        <v>9.9999999999999995E-8</v>
      </c>
      <c r="I29" s="113">
        <v>0.05</v>
      </c>
      <c r="J29" s="17"/>
      <c r="K29" s="17"/>
      <c r="L29" s="17"/>
      <c r="M29" s="17"/>
    </row>
    <row r="30" spans="3:17" ht="15.75" thickBot="1">
      <c r="C30" s="24" t="s">
        <v>111</v>
      </c>
      <c r="D30" s="111">
        <v>0.1</v>
      </c>
      <c r="E30" s="113">
        <v>0.1</v>
      </c>
      <c r="F30" s="115">
        <f t="shared" si="0"/>
        <v>9.9999999999999995E-8</v>
      </c>
      <c r="G30" s="113">
        <v>0.1</v>
      </c>
      <c r="H30" s="115">
        <v>9.9999999999999995E-7</v>
      </c>
      <c r="I30" s="113">
        <v>0.1</v>
      </c>
      <c r="J30" s="17"/>
      <c r="K30" s="17"/>
      <c r="L30" s="17"/>
      <c r="M30" s="17"/>
    </row>
    <row r="31" spans="3:17" ht="15.75" thickBot="1">
      <c r="C31" s="24" t="s">
        <v>112</v>
      </c>
      <c r="D31" s="111">
        <v>0.05</v>
      </c>
      <c r="E31" s="113">
        <v>0.05</v>
      </c>
      <c r="F31" s="115">
        <f t="shared" si="0"/>
        <v>1E-8</v>
      </c>
      <c r="G31" s="113">
        <v>0.05</v>
      </c>
      <c r="H31" s="115">
        <v>9.9999999999999995E-8</v>
      </c>
      <c r="I31" s="113">
        <v>0.05</v>
      </c>
      <c r="J31" s="17"/>
      <c r="K31" s="17"/>
      <c r="L31" s="17"/>
      <c r="M31" s="17"/>
    </row>
    <row r="32" spans="3:17" ht="15.75" thickBot="1">
      <c r="C32" s="24" t="s">
        <v>113</v>
      </c>
      <c r="D32" s="111">
        <v>0.05</v>
      </c>
      <c r="E32" s="113">
        <v>0.05</v>
      </c>
      <c r="F32" s="115">
        <f t="shared" si="0"/>
        <v>1E-8</v>
      </c>
      <c r="G32" s="113">
        <v>0.05</v>
      </c>
      <c r="H32" s="115">
        <v>9.9999999999999995E-8</v>
      </c>
      <c r="I32" s="113">
        <v>0.05</v>
      </c>
      <c r="J32" s="17"/>
      <c r="K32" s="17"/>
      <c r="L32" s="17"/>
      <c r="M32" s="17"/>
    </row>
    <row r="33" spans="2:14" ht="15.75" thickBot="1">
      <c r="C33" s="24" t="s">
        <v>114</v>
      </c>
      <c r="D33" s="111">
        <v>0.1</v>
      </c>
      <c r="E33" s="113">
        <v>0.1</v>
      </c>
      <c r="F33" s="115">
        <f t="shared" si="0"/>
        <v>9.9999999999999995E-8</v>
      </c>
      <c r="G33" s="113">
        <v>0.1</v>
      </c>
      <c r="H33" s="115">
        <v>9.9999999999999995E-7</v>
      </c>
      <c r="I33" s="113">
        <v>0.1</v>
      </c>
      <c r="J33" s="17"/>
      <c r="K33" s="17"/>
      <c r="L33" s="17"/>
      <c r="M33" s="17"/>
      <c r="N33" s="19"/>
    </row>
    <row r="34" spans="2:14" ht="15.75" thickBot="1">
      <c r="C34" s="24" t="s">
        <v>115</v>
      </c>
      <c r="D34" s="111">
        <v>0.05</v>
      </c>
      <c r="E34" s="113">
        <v>0.05</v>
      </c>
      <c r="F34" s="115">
        <f t="shared" si="0"/>
        <v>1E-8</v>
      </c>
      <c r="G34" s="113">
        <v>0.05</v>
      </c>
      <c r="H34" s="115">
        <v>9.9999999999999995E-8</v>
      </c>
      <c r="I34" s="113">
        <v>0.05</v>
      </c>
      <c r="J34" s="17"/>
      <c r="K34" s="17"/>
      <c r="L34" s="17"/>
      <c r="M34" s="17"/>
    </row>
    <row r="35" spans="2:14" ht="15.75" thickBot="1">
      <c r="C35" s="24" t="s">
        <v>81</v>
      </c>
      <c r="D35" s="111">
        <v>0</v>
      </c>
      <c r="E35" s="113">
        <v>0</v>
      </c>
      <c r="F35" s="115">
        <v>0</v>
      </c>
      <c r="G35" s="113">
        <v>0</v>
      </c>
      <c r="H35" s="115">
        <v>0</v>
      </c>
      <c r="I35" s="113">
        <v>0</v>
      </c>
      <c r="J35" s="17"/>
      <c r="K35" s="17"/>
      <c r="L35" s="17"/>
      <c r="M35" s="17"/>
    </row>
    <row r="37" spans="2:14" s="19" customFormat="1" ht="18">
      <c r="C37" s="20"/>
      <c r="D37" s="21" t="s">
        <v>89</v>
      </c>
      <c r="E37" s="21" t="s">
        <v>91</v>
      </c>
      <c r="F37" s="21" t="s">
        <v>93</v>
      </c>
      <c r="G37" s="22" t="s">
        <v>116</v>
      </c>
      <c r="H37" s="23" t="s">
        <v>117</v>
      </c>
      <c r="I37" s="22" t="s">
        <v>118</v>
      </c>
      <c r="J37" s="22" t="s">
        <v>119</v>
      </c>
      <c r="K37" s="22" t="s">
        <v>120</v>
      </c>
      <c r="L37" s="22" t="s">
        <v>120</v>
      </c>
    </row>
    <row r="38" spans="2:14">
      <c r="C38" s="29" t="str">
        <f>'Indicators calculations'!C12</f>
        <v>Ladek-Zdroj</v>
      </c>
      <c r="D38" s="25">
        <f>VLOOKUP(I40,'GW vulnerability algorithm'!$C$13:$I$35,3,FALSE)</f>
        <v>0.05</v>
      </c>
      <c r="E38" s="25">
        <f>VLOOKUP(I40,'GW vulnerability algorithm'!$C$13:$I$35,5,FALSE)</f>
        <v>0.25</v>
      </c>
      <c r="F38" s="25">
        <f>VLOOKUP(I41,'GW vulnerability algorithm'!$C$13:$I$35,7,FALSE)</f>
        <v>0.25</v>
      </c>
      <c r="G38" s="26">
        <f>IF(VLOOKUP($C$38,'Main database'!$B$3:$AB$45,27,FALSE)="","NoData",VLOOKUP($C$38,'Main database'!$B$3:$AB$45,27,FALSE))</f>
        <v>500</v>
      </c>
      <c r="H38" s="25" t="str">
        <f>I42</f>
        <v>Unconfined</v>
      </c>
      <c r="I38" s="189">
        <v>100</v>
      </c>
      <c r="J38" s="27">
        <v>1</v>
      </c>
      <c r="K38" s="24">
        <f>IF(ISERR(D38*E38*F38*G38*I38*J38),"NoData",D38*E38*F38*G38*I38*J38)</f>
        <v>156.25</v>
      </c>
      <c r="L38" s="29" t="str">
        <f>IF(K38&lt;B45,D45,IF(K38&lt;B46,D46,IF(K38&lt;B47,D47,IF(K38&lt;B48,D48,IF(K38="NoData","NoData",D49)))))</f>
        <v>moderate risk</v>
      </c>
    </row>
    <row r="39" spans="2:14">
      <c r="I39" s="17"/>
      <c r="J39" s="17"/>
    </row>
    <row r="40" spans="2:14">
      <c r="H40" s="2" t="s">
        <v>134</v>
      </c>
      <c r="I40" s="2" t="str">
        <f>IF(VLOOKUP($C$38,'Main database'!$B$3:$AB$45,24,FALSE)="","NoData",VLOOKUP($C$38,'Main database'!$B$3:$AB$45,24,FALSE))</f>
        <v>metamorphic</v>
      </c>
      <c r="J40" s="17"/>
    </row>
    <row r="41" spans="2:14">
      <c r="H41" s="2" t="s">
        <v>135</v>
      </c>
      <c r="I41" s="2" t="str">
        <f>IF(VLOOKUP($C$38,'Main database'!$B$3:$AB$45,25,FALSE)="","NoData",VLOOKUP($C$38,'Main database'!$B$3:$AB$45,25,FALSE))</f>
        <v>metamorphic</v>
      </c>
      <c r="J41" s="17"/>
    </row>
    <row r="42" spans="2:14">
      <c r="H42" s="2" t="s">
        <v>136</v>
      </c>
      <c r="I42" s="2" t="str">
        <f>IF(VLOOKUP($C$38,'Main database'!$B$3:$AB$45,26,FALSE)="","NoData",VLOOKUP($C$38,'Main database'!$B$3:$AB$45,26,FALSE))</f>
        <v>Unconfined</v>
      </c>
      <c r="J42" s="17"/>
    </row>
    <row r="43" spans="2:14" ht="15.75">
      <c r="C43" s="155" t="s">
        <v>216</v>
      </c>
      <c r="D43" s="153"/>
      <c r="E43" s="153"/>
      <c r="F43" s="153"/>
      <c r="H43" s="117"/>
      <c r="I43" s="117"/>
      <c r="J43" s="17"/>
    </row>
    <row r="44" spans="2:14" ht="26.25" customHeight="1">
      <c r="D44" s="17" t="s">
        <v>215</v>
      </c>
      <c r="E44" s="17"/>
      <c r="F44" s="17" t="s">
        <v>214</v>
      </c>
      <c r="I44" s="17"/>
      <c r="J44" s="17"/>
    </row>
    <row r="45" spans="2:14" ht="15.75">
      <c r="B45" s="157">
        <v>10</v>
      </c>
      <c r="C45" s="163" t="s">
        <v>123</v>
      </c>
      <c r="D45" s="163" t="s">
        <v>124</v>
      </c>
      <c r="E45" s="163"/>
      <c r="F45" s="163"/>
      <c r="G45" s="163"/>
      <c r="I45" s="17"/>
      <c r="J45" s="17"/>
    </row>
    <row r="46" spans="2:14" ht="15.75">
      <c r="B46" s="157">
        <v>100</v>
      </c>
      <c r="C46" s="159" t="s">
        <v>125</v>
      </c>
      <c r="D46" s="160" t="s">
        <v>126</v>
      </c>
      <c r="E46" s="159"/>
      <c r="F46" s="159" t="s">
        <v>122</v>
      </c>
      <c r="G46" s="159"/>
      <c r="H46" s="158"/>
      <c r="I46" s="17"/>
      <c r="J46" s="17"/>
    </row>
    <row r="47" spans="2:14" ht="15.75">
      <c r="B47" s="157">
        <v>1000</v>
      </c>
      <c r="C47" s="161" t="s">
        <v>127</v>
      </c>
      <c r="D47" s="162" t="s">
        <v>128</v>
      </c>
      <c r="E47" s="162"/>
      <c r="F47" s="162" t="s">
        <v>121</v>
      </c>
      <c r="G47" s="162"/>
      <c r="H47" s="17"/>
      <c r="I47" s="17"/>
      <c r="J47" s="17"/>
    </row>
    <row r="48" spans="2:14" ht="15.75">
      <c r="B48" s="157">
        <v>10000</v>
      </c>
      <c r="C48" s="188" t="s">
        <v>129</v>
      </c>
      <c r="D48" s="188" t="s">
        <v>130</v>
      </c>
      <c r="E48" s="188"/>
      <c r="F48" s="188" t="s">
        <v>37</v>
      </c>
      <c r="G48" s="188"/>
    </row>
    <row r="49" spans="2:7" ht="15.75">
      <c r="B49" s="157"/>
      <c r="C49" s="187" t="s">
        <v>131</v>
      </c>
      <c r="D49" s="187" t="s">
        <v>132</v>
      </c>
      <c r="E49" s="187"/>
      <c r="F49" s="187"/>
      <c r="G49" s="187"/>
    </row>
  </sheetData>
  <conditionalFormatting sqref="D46">
    <cfRule type="cellIs" dxfId="9" priority="1" operator="equal">
      <formula>$D$49</formula>
    </cfRule>
    <cfRule type="cellIs" dxfId="8" priority="2" operator="equal">
      <formula>$D$48</formula>
    </cfRule>
    <cfRule type="cellIs" dxfId="7" priority="3" operator="equal">
      <formula>$D$47</formula>
    </cfRule>
    <cfRule type="cellIs" dxfId="6" priority="4" operator="equal">
      <formula>$D$46</formula>
    </cfRule>
  </conditionalFormatting>
  <pageMargins left="0.7" right="0.7" top="0.75" bottom="0.75" header="0.3" footer="0.3"/>
  <pageSetup paperSize="9" orientation="portrait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AEEA0C1F-0D79-4EBE-9ADE-4710D86673DA}">
            <xm:f>NOT(ISERROR(SEARCH($D$45,D46)))</xm:f>
            <xm:f>$D$45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D46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2"/>
  <sheetViews>
    <sheetView workbookViewId="0">
      <selection activeCell="C6" sqref="C6"/>
    </sheetView>
  </sheetViews>
  <sheetFormatPr defaultRowHeight="15"/>
  <cols>
    <col min="3" max="3" width="9.140625" style="1"/>
    <col min="6" max="6" width="25.5703125" bestFit="1" customWidth="1"/>
    <col min="8" max="8" width="11.140625" bestFit="1" customWidth="1"/>
  </cols>
  <sheetData>
    <row r="1" spans="1:8">
      <c r="A1" t="s">
        <v>3</v>
      </c>
      <c r="B1">
        <v>34</v>
      </c>
      <c r="C1" s="1">
        <v>43</v>
      </c>
      <c r="D1" t="s">
        <v>10</v>
      </c>
      <c r="F1" t="s">
        <v>94</v>
      </c>
      <c r="H1" t="s">
        <v>138</v>
      </c>
    </row>
    <row r="2" spans="1:8">
      <c r="A2" t="s">
        <v>4</v>
      </c>
      <c r="B2">
        <v>3</v>
      </c>
      <c r="C2" s="1">
        <v>7</v>
      </c>
      <c r="D2" t="s">
        <v>11</v>
      </c>
      <c r="F2" t="s">
        <v>95</v>
      </c>
      <c r="H2" t="s">
        <v>139</v>
      </c>
    </row>
    <row r="3" spans="1:8">
      <c r="A3" t="s">
        <v>5</v>
      </c>
      <c r="B3">
        <v>8</v>
      </c>
      <c r="C3" s="1">
        <v>13</v>
      </c>
      <c r="D3" t="s">
        <v>12</v>
      </c>
      <c r="F3" t="s">
        <v>96</v>
      </c>
    </row>
    <row r="4" spans="1:8">
      <c r="A4" t="s">
        <v>6</v>
      </c>
      <c r="B4">
        <v>14</v>
      </c>
      <c r="C4" s="1">
        <v>18</v>
      </c>
      <c r="D4" t="s">
        <v>13</v>
      </c>
      <c r="F4" t="s">
        <v>97</v>
      </c>
    </row>
    <row r="5" spans="1:8">
      <c r="A5" t="s">
        <v>7</v>
      </c>
      <c r="B5">
        <v>44</v>
      </c>
      <c r="C5" s="1">
        <v>45</v>
      </c>
      <c r="D5" t="s">
        <v>14</v>
      </c>
      <c r="F5" t="s">
        <v>98</v>
      </c>
    </row>
    <row r="6" spans="1:8">
      <c r="A6" t="s">
        <v>8</v>
      </c>
      <c r="B6">
        <v>19</v>
      </c>
      <c r="C6" s="1">
        <v>24</v>
      </c>
      <c r="D6" t="s">
        <v>15</v>
      </c>
      <c r="F6" t="s">
        <v>99</v>
      </c>
    </row>
    <row r="7" spans="1:8">
      <c r="A7" t="s">
        <v>9</v>
      </c>
      <c r="B7">
        <v>27</v>
      </c>
      <c r="C7" s="1">
        <v>33</v>
      </c>
      <c r="D7" t="s">
        <v>16</v>
      </c>
      <c r="F7" t="s">
        <v>100</v>
      </c>
    </row>
    <row r="8" spans="1:8">
      <c r="D8" t="s">
        <v>17</v>
      </c>
      <c r="F8" t="s">
        <v>101</v>
      </c>
    </row>
    <row r="9" spans="1:8">
      <c r="D9" t="s">
        <v>18</v>
      </c>
      <c r="F9" t="s">
        <v>102</v>
      </c>
    </row>
    <row r="10" spans="1:8">
      <c r="D10" t="s">
        <v>19</v>
      </c>
      <c r="F10" t="s">
        <v>103</v>
      </c>
    </row>
    <row r="11" spans="1:8">
      <c r="D11" t="s">
        <v>20</v>
      </c>
      <c r="F11" t="s">
        <v>104</v>
      </c>
    </row>
    <row r="12" spans="1:8">
      <c r="D12" t="s">
        <v>21</v>
      </c>
      <c r="F12" t="s">
        <v>105</v>
      </c>
    </row>
    <row r="13" spans="1:8">
      <c r="F13" t="s">
        <v>106</v>
      </c>
    </row>
    <row r="14" spans="1:8">
      <c r="F14" t="s">
        <v>107</v>
      </c>
    </row>
    <row r="15" spans="1:8">
      <c r="F15" t="s">
        <v>108</v>
      </c>
    </row>
    <row r="16" spans="1:8">
      <c r="A16" t="s">
        <v>22</v>
      </c>
      <c r="B16">
        <v>127</v>
      </c>
      <c r="F16" t="s">
        <v>109</v>
      </c>
    </row>
    <row r="17" spans="1:6">
      <c r="A17" t="s">
        <v>23</v>
      </c>
      <c r="B17">
        <v>58</v>
      </c>
      <c r="F17" t="s">
        <v>110</v>
      </c>
    </row>
    <row r="18" spans="1:6">
      <c r="A18" t="s">
        <v>24</v>
      </c>
      <c r="B18">
        <v>18</v>
      </c>
      <c r="F18" t="s">
        <v>111</v>
      </c>
    </row>
    <row r="19" spans="1:6">
      <c r="F19" t="s">
        <v>112</v>
      </c>
    </row>
    <row r="20" spans="1:6">
      <c r="F20" t="s">
        <v>113</v>
      </c>
    </row>
    <row r="21" spans="1:6">
      <c r="F21" t="s">
        <v>114</v>
      </c>
    </row>
    <row r="22" spans="1:6">
      <c r="F2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2A311-D739-4417-B10B-9064BBC6AFC4}">
  <dimension ref="A1:U144"/>
  <sheetViews>
    <sheetView topLeftCell="A90" zoomScale="70" zoomScaleNormal="70" workbookViewId="0">
      <selection activeCell="F15" sqref="F15"/>
    </sheetView>
  </sheetViews>
  <sheetFormatPr defaultRowHeight="15"/>
  <cols>
    <col min="1" max="1" width="9.140625" style="1"/>
    <col min="2" max="2" width="8.5703125" style="1" bestFit="1" customWidth="1"/>
    <col min="3" max="3" width="26.140625" bestFit="1" customWidth="1"/>
    <col min="4" max="18" width="14.140625" customWidth="1"/>
    <col min="19" max="19" width="14.5703125" style="142" customWidth="1"/>
    <col min="20" max="20" width="14.140625" bestFit="1" customWidth="1"/>
  </cols>
  <sheetData>
    <row r="1" spans="2:19" s="1" customFormat="1">
      <c r="S1" s="142"/>
    </row>
    <row r="2" spans="2:19" s="1" customFormat="1" ht="114.75" customHeight="1">
      <c r="S2" s="142"/>
    </row>
    <row r="3" spans="2:19" s="1" customFormat="1">
      <c r="S3" s="142"/>
    </row>
    <row r="4" spans="2:19" s="1" customFormat="1" ht="21">
      <c r="B4" s="171" t="s">
        <v>226</v>
      </c>
      <c r="C4" s="108"/>
      <c r="D4" s="217" t="s">
        <v>217</v>
      </c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142"/>
    </row>
    <row r="5" spans="2:19" ht="90.75" thickBot="1">
      <c r="B5" s="172" t="s">
        <v>76</v>
      </c>
      <c r="C5" s="172" t="s">
        <v>77</v>
      </c>
      <c r="D5" s="173" t="s">
        <v>182</v>
      </c>
      <c r="E5" s="173" t="s">
        <v>183</v>
      </c>
      <c r="F5" s="173" t="s">
        <v>184</v>
      </c>
      <c r="G5" s="173" t="s">
        <v>185</v>
      </c>
      <c r="H5" s="173" t="s">
        <v>186</v>
      </c>
      <c r="I5" s="173" t="s">
        <v>180</v>
      </c>
      <c r="J5" s="173" t="s">
        <v>181</v>
      </c>
      <c r="K5" s="173" t="s">
        <v>187</v>
      </c>
      <c r="L5" s="173" t="s">
        <v>188</v>
      </c>
      <c r="M5" s="173" t="s">
        <v>189</v>
      </c>
      <c r="N5" s="173" t="s">
        <v>190</v>
      </c>
      <c r="O5" s="173" t="s">
        <v>191</v>
      </c>
      <c r="P5" s="173" t="s">
        <v>192</v>
      </c>
      <c r="Q5" s="173" t="s">
        <v>193</v>
      </c>
      <c r="R5" s="173" t="s">
        <v>194</v>
      </c>
    </row>
    <row r="6" spans="2:19">
      <c r="B6" s="174" t="s">
        <v>4</v>
      </c>
      <c r="C6" s="175" t="s">
        <v>65</v>
      </c>
      <c r="D6" s="196">
        <v>122855.94029483222</v>
      </c>
      <c r="E6" s="196">
        <v>0</v>
      </c>
      <c r="F6" s="196">
        <v>1639.1056482050001</v>
      </c>
      <c r="G6" s="196"/>
      <c r="H6" s="196"/>
      <c r="I6" s="196"/>
      <c r="J6" s="196"/>
      <c r="K6" s="196">
        <v>0</v>
      </c>
      <c r="L6" s="196"/>
      <c r="M6" s="196">
        <v>109840.89139521378</v>
      </c>
      <c r="N6" s="196"/>
      <c r="O6" s="196">
        <v>431.51509501647001</v>
      </c>
      <c r="P6" s="196"/>
      <c r="Q6" s="196"/>
      <c r="R6" s="197">
        <v>11833.82993518912</v>
      </c>
    </row>
    <row r="7" spans="2:19">
      <c r="B7" s="177" t="s">
        <v>4</v>
      </c>
      <c r="C7" s="2" t="s">
        <v>66</v>
      </c>
      <c r="D7" s="198">
        <v>918504.02023973153</v>
      </c>
      <c r="E7" s="198">
        <v>0</v>
      </c>
      <c r="F7" s="198">
        <v>3950.3693602419999</v>
      </c>
      <c r="G7" s="198"/>
      <c r="H7" s="198"/>
      <c r="I7" s="198"/>
      <c r="J7" s="198"/>
      <c r="K7" s="198">
        <v>510.551925256</v>
      </c>
      <c r="L7" s="198"/>
      <c r="M7" s="198">
        <v>290253.76593260409</v>
      </c>
      <c r="N7" s="198"/>
      <c r="O7" s="198">
        <v>1099.5038895560001</v>
      </c>
      <c r="P7" s="198"/>
      <c r="Q7" s="198"/>
      <c r="R7" s="199">
        <v>15141.0226869902</v>
      </c>
    </row>
    <row r="8" spans="2:19">
      <c r="B8" s="177" t="s">
        <v>4</v>
      </c>
      <c r="C8" s="2" t="s">
        <v>64</v>
      </c>
      <c r="D8" s="198">
        <v>81243.819111038349</v>
      </c>
      <c r="E8" s="198">
        <v>0</v>
      </c>
      <c r="F8" s="198">
        <v>0</v>
      </c>
      <c r="G8" s="198"/>
      <c r="H8" s="198"/>
      <c r="I8" s="198"/>
      <c r="J8" s="198"/>
      <c r="K8" s="198">
        <v>0</v>
      </c>
      <c r="L8" s="198"/>
      <c r="M8" s="198">
        <v>88435.472640253531</v>
      </c>
      <c r="N8" s="198"/>
      <c r="O8" s="198">
        <v>468.86459748800002</v>
      </c>
      <c r="P8" s="198"/>
      <c r="Q8" s="198"/>
      <c r="R8" s="199">
        <v>5460.7539292250003</v>
      </c>
    </row>
    <row r="9" spans="2:19">
      <c r="B9" s="177" t="s">
        <v>4</v>
      </c>
      <c r="C9" s="2" t="s">
        <v>44</v>
      </c>
      <c r="D9" s="198">
        <v>402094.85354764044</v>
      </c>
      <c r="E9" s="198">
        <v>366.24787823700001</v>
      </c>
      <c r="F9" s="198">
        <v>1420.1603896890001</v>
      </c>
      <c r="G9" s="198"/>
      <c r="H9" s="198"/>
      <c r="I9" s="198"/>
      <c r="J9" s="198"/>
      <c r="K9" s="198">
        <v>470.17202173099997</v>
      </c>
      <c r="L9" s="198"/>
      <c r="M9" s="198">
        <v>58662.409380755205</v>
      </c>
      <c r="N9" s="198"/>
      <c r="O9" s="198">
        <v>315.25028548900002</v>
      </c>
      <c r="P9" s="198"/>
      <c r="Q9" s="198"/>
      <c r="R9" s="199">
        <v>3594.2872644219997</v>
      </c>
    </row>
    <row r="10" spans="2:19" ht="15.75" thickBot="1">
      <c r="B10" s="179" t="s">
        <v>4</v>
      </c>
      <c r="C10" s="180" t="s">
        <v>67</v>
      </c>
      <c r="D10" s="200">
        <v>161251.5457156476</v>
      </c>
      <c r="E10" s="200">
        <v>0</v>
      </c>
      <c r="F10" s="200">
        <v>617.99477739899999</v>
      </c>
      <c r="G10" s="200"/>
      <c r="H10" s="200"/>
      <c r="I10" s="200"/>
      <c r="J10" s="200"/>
      <c r="K10" s="200">
        <v>0</v>
      </c>
      <c r="L10" s="200"/>
      <c r="M10" s="200">
        <v>107337.00079599035</v>
      </c>
      <c r="N10" s="200"/>
      <c r="O10" s="200">
        <v>282.04089603</v>
      </c>
      <c r="P10" s="200"/>
      <c r="Q10" s="200"/>
      <c r="R10" s="201">
        <v>2123.7587049250001</v>
      </c>
    </row>
    <row r="11" spans="2:19">
      <c r="B11" s="174" t="s">
        <v>5</v>
      </c>
      <c r="C11" s="175" t="s">
        <v>34</v>
      </c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6"/>
    </row>
    <row r="12" spans="2:19">
      <c r="B12" s="177" t="s">
        <v>5</v>
      </c>
      <c r="C12" s="2" t="s">
        <v>35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78"/>
    </row>
    <row r="13" spans="2:19">
      <c r="B13" s="177" t="s">
        <v>5</v>
      </c>
      <c r="C13" s="2" t="s">
        <v>36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78"/>
    </row>
    <row r="14" spans="2:19">
      <c r="B14" s="177" t="s">
        <v>5</v>
      </c>
      <c r="C14" s="2" t="s">
        <v>30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78"/>
    </row>
    <row r="15" spans="2:19">
      <c r="B15" s="177" t="s">
        <v>5</v>
      </c>
      <c r="C15" s="2" t="s">
        <v>32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78"/>
    </row>
    <row r="16" spans="2:19" ht="15.75" thickBot="1">
      <c r="B16" s="179" t="s">
        <v>5</v>
      </c>
      <c r="C16" s="180" t="s">
        <v>33</v>
      </c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1"/>
    </row>
    <row r="17" spans="2:18">
      <c r="B17" s="174" t="s">
        <v>6</v>
      </c>
      <c r="C17" s="175" t="s">
        <v>53</v>
      </c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6"/>
    </row>
    <row r="18" spans="2:18">
      <c r="B18" s="177" t="s">
        <v>6</v>
      </c>
      <c r="C18" s="2" t="s">
        <v>54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78"/>
    </row>
    <row r="19" spans="2:18">
      <c r="B19" s="177" t="s">
        <v>6</v>
      </c>
      <c r="C19" s="2" t="s">
        <v>52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78"/>
    </row>
    <row r="20" spans="2:18">
      <c r="B20" s="177" t="s">
        <v>6</v>
      </c>
      <c r="C20" s="2" t="s">
        <v>39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78"/>
    </row>
    <row r="21" spans="2:18" ht="15.75" thickBot="1">
      <c r="B21" s="179" t="s">
        <v>6</v>
      </c>
      <c r="C21" s="180" t="s">
        <v>40</v>
      </c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1"/>
    </row>
    <row r="22" spans="2:18">
      <c r="B22" s="174" t="s">
        <v>8</v>
      </c>
      <c r="C22" s="175" t="s">
        <v>68</v>
      </c>
      <c r="D22" s="175">
        <v>11787020</v>
      </c>
      <c r="E22" s="175">
        <v>1765563</v>
      </c>
      <c r="F22" s="175">
        <v>2047489</v>
      </c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6"/>
    </row>
    <row r="23" spans="2:18">
      <c r="B23" s="177" t="s">
        <v>8</v>
      </c>
      <c r="C23" s="2" t="s">
        <v>56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78"/>
    </row>
    <row r="24" spans="2:18">
      <c r="B24" s="177" t="s">
        <v>8</v>
      </c>
      <c r="C24" s="2" t="s">
        <v>57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78"/>
    </row>
    <row r="25" spans="2:18">
      <c r="B25" s="177" t="s">
        <v>8</v>
      </c>
      <c r="C25" s="2" t="s">
        <v>55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78"/>
    </row>
    <row r="26" spans="2:18">
      <c r="B26" s="177" t="s">
        <v>8</v>
      </c>
      <c r="C26" s="2" t="s">
        <v>69</v>
      </c>
      <c r="D26" s="2">
        <v>73658311</v>
      </c>
      <c r="E26" s="2">
        <v>3684521</v>
      </c>
      <c r="F26" s="2">
        <v>4336102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78"/>
    </row>
    <row r="27" spans="2:18" ht="15.75" thickBot="1">
      <c r="B27" s="177" t="s">
        <v>8</v>
      </c>
      <c r="C27" s="2" t="s">
        <v>163</v>
      </c>
      <c r="D27" s="2">
        <v>63286564</v>
      </c>
      <c r="E27" s="2">
        <v>8225211</v>
      </c>
      <c r="F27" s="2">
        <v>21646388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78"/>
    </row>
    <row r="28" spans="2:18">
      <c r="B28" s="174" t="s">
        <v>9</v>
      </c>
      <c r="C28" s="175" t="s">
        <v>59</v>
      </c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6"/>
    </row>
    <row r="29" spans="2:18">
      <c r="B29" s="177" t="s">
        <v>9</v>
      </c>
      <c r="C29" s="2" t="s">
        <v>45</v>
      </c>
      <c r="D29" s="2">
        <v>43245</v>
      </c>
      <c r="E29" s="2">
        <v>0</v>
      </c>
      <c r="F29" s="2">
        <v>0</v>
      </c>
      <c r="G29" s="2">
        <v>46371</v>
      </c>
      <c r="H29" s="2">
        <v>0</v>
      </c>
      <c r="I29" s="2">
        <v>0</v>
      </c>
      <c r="J29" s="2">
        <v>54687</v>
      </c>
      <c r="K29" s="2">
        <v>0</v>
      </c>
      <c r="L29" s="2">
        <v>100</v>
      </c>
      <c r="M29" s="2">
        <v>19146</v>
      </c>
      <c r="N29" s="2">
        <v>0</v>
      </c>
      <c r="O29" s="2">
        <v>0</v>
      </c>
      <c r="P29" s="2">
        <v>0</v>
      </c>
      <c r="Q29" s="2">
        <v>103</v>
      </c>
      <c r="R29" s="178">
        <v>37394</v>
      </c>
    </row>
    <row r="30" spans="2:18">
      <c r="B30" s="177" t="s">
        <v>9</v>
      </c>
      <c r="C30" s="2" t="s">
        <v>58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78"/>
    </row>
    <row r="31" spans="2:18">
      <c r="B31" s="177" t="s">
        <v>9</v>
      </c>
      <c r="C31" s="2" t="s">
        <v>62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78"/>
    </row>
    <row r="32" spans="2:18">
      <c r="B32" s="177" t="s">
        <v>9</v>
      </c>
      <c r="C32" s="2" t="s">
        <v>61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78"/>
    </row>
    <row r="33" spans="2:18">
      <c r="B33" s="177" t="s">
        <v>9</v>
      </c>
      <c r="C33" s="2" t="s">
        <v>60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78"/>
    </row>
    <row r="34" spans="2:18" ht="15.75" thickBot="1">
      <c r="B34" s="179" t="s">
        <v>9</v>
      </c>
      <c r="C34" s="180" t="s">
        <v>63</v>
      </c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1"/>
    </row>
    <row r="35" spans="2:18">
      <c r="B35" s="174" t="s">
        <v>3</v>
      </c>
      <c r="C35" s="175" t="s">
        <v>48</v>
      </c>
      <c r="D35" s="175">
        <v>149119581.039</v>
      </c>
      <c r="E35" s="175">
        <v>1145861.1857</v>
      </c>
      <c r="F35" s="175">
        <v>40319.2984</v>
      </c>
      <c r="G35" s="175">
        <v>354764.8872</v>
      </c>
      <c r="H35" s="175">
        <v>58149.062899999997</v>
      </c>
      <c r="I35" s="175">
        <v>0</v>
      </c>
      <c r="J35" s="175">
        <v>6886146.4463799996</v>
      </c>
      <c r="K35" s="175">
        <v>0</v>
      </c>
      <c r="L35" s="175"/>
      <c r="M35" s="175">
        <v>974713.5564</v>
      </c>
      <c r="N35" s="175">
        <v>255365.658902</v>
      </c>
      <c r="O35" s="175">
        <v>162507.62104999999</v>
      </c>
      <c r="P35" s="175">
        <v>6321.1892500000004</v>
      </c>
      <c r="Q35" s="175">
        <v>0</v>
      </c>
      <c r="R35" s="176">
        <v>37496.497300000003</v>
      </c>
    </row>
    <row r="36" spans="2:18">
      <c r="B36" s="177" t="s">
        <v>3</v>
      </c>
      <c r="C36" s="2" t="s">
        <v>41</v>
      </c>
      <c r="D36" s="2">
        <v>6274058.0022700001</v>
      </c>
      <c r="E36" s="2">
        <v>147539.91834800001</v>
      </c>
      <c r="F36" s="2">
        <v>0</v>
      </c>
      <c r="G36" s="2">
        <v>54102.900900000001</v>
      </c>
      <c r="H36" s="2">
        <v>0</v>
      </c>
      <c r="I36" s="2">
        <v>0</v>
      </c>
      <c r="J36" s="2">
        <v>996199.18485600001</v>
      </c>
      <c r="K36" s="2">
        <v>0</v>
      </c>
      <c r="L36" s="2"/>
      <c r="M36" s="2">
        <v>236534.718532</v>
      </c>
      <c r="N36" s="2">
        <v>43938.780842</v>
      </c>
      <c r="O36" s="2">
        <v>35798.000800000002</v>
      </c>
      <c r="P36" s="2">
        <v>7197.9934499999999</v>
      </c>
      <c r="Q36" s="2">
        <v>0</v>
      </c>
      <c r="R36" s="178">
        <v>105151.05536</v>
      </c>
    </row>
    <row r="37" spans="2:18">
      <c r="B37" s="177" t="s">
        <v>3</v>
      </c>
      <c r="C37" s="2" t="s">
        <v>47</v>
      </c>
      <c r="D37" s="2">
        <v>2430000</v>
      </c>
      <c r="E37" s="2">
        <v>380000</v>
      </c>
      <c r="F37" s="2">
        <v>0</v>
      </c>
      <c r="G37" s="2">
        <v>110000</v>
      </c>
      <c r="H37" s="2">
        <v>0</v>
      </c>
      <c r="I37" s="2">
        <v>910000</v>
      </c>
      <c r="J37" s="2">
        <v>0</v>
      </c>
      <c r="K37" s="2">
        <v>0</v>
      </c>
      <c r="L37" s="2">
        <v>0</v>
      </c>
      <c r="M37" s="2">
        <v>200000</v>
      </c>
      <c r="N37" s="2">
        <v>160000</v>
      </c>
      <c r="O37" s="2">
        <v>30000</v>
      </c>
      <c r="P37" s="2">
        <v>0</v>
      </c>
      <c r="Q37" s="2">
        <v>0</v>
      </c>
      <c r="R37" s="178">
        <v>50000</v>
      </c>
    </row>
    <row r="38" spans="2:18">
      <c r="B38" s="177" t="s">
        <v>3</v>
      </c>
      <c r="C38" s="2" t="s">
        <v>50</v>
      </c>
      <c r="D38" s="2">
        <v>12780000</v>
      </c>
      <c r="E38" s="2">
        <v>2460000</v>
      </c>
      <c r="F38" s="2">
        <v>80000</v>
      </c>
      <c r="G38" s="2">
        <v>2010000</v>
      </c>
      <c r="H38" s="2">
        <v>0</v>
      </c>
      <c r="I38" s="2">
        <v>9140000</v>
      </c>
      <c r="J38" s="2">
        <v>0</v>
      </c>
      <c r="K38" s="2">
        <v>10000</v>
      </c>
      <c r="L38" s="2">
        <v>0</v>
      </c>
      <c r="M38" s="2">
        <v>1670000</v>
      </c>
      <c r="N38" s="2">
        <v>650000</v>
      </c>
      <c r="O38" s="2">
        <v>330000</v>
      </c>
      <c r="P38" s="2">
        <v>50000</v>
      </c>
      <c r="Q38" s="2">
        <v>0</v>
      </c>
      <c r="R38" s="178">
        <v>310000</v>
      </c>
    </row>
    <row r="39" spans="2:18">
      <c r="B39" s="177" t="s">
        <v>3</v>
      </c>
      <c r="C39" s="2" t="s">
        <v>43</v>
      </c>
      <c r="D39" s="2">
        <v>13330256.5956</v>
      </c>
      <c r="E39" s="2">
        <v>390318.19715000002</v>
      </c>
      <c r="F39" s="2">
        <v>0</v>
      </c>
      <c r="G39" s="2">
        <v>148359.05666900001</v>
      </c>
      <c r="H39" s="2">
        <v>0</v>
      </c>
      <c r="I39" s="2">
        <v>0</v>
      </c>
      <c r="J39" s="2">
        <v>2228486.8884100001</v>
      </c>
      <c r="K39" s="2">
        <v>0</v>
      </c>
      <c r="L39" s="2"/>
      <c r="M39" s="2">
        <v>176531.68831</v>
      </c>
      <c r="N39" s="2">
        <v>17231.433741000001</v>
      </c>
      <c r="O39" s="2">
        <v>42597.466650000002</v>
      </c>
      <c r="P39" s="2">
        <v>33926.408444000001</v>
      </c>
      <c r="Q39" s="2">
        <v>0</v>
      </c>
      <c r="R39" s="178">
        <v>43924.0026</v>
      </c>
    </row>
    <row r="40" spans="2:18">
      <c r="B40" s="177" t="s">
        <v>3</v>
      </c>
      <c r="C40" s="2" t="s">
        <v>31</v>
      </c>
      <c r="D40" s="2">
        <v>44629904.977600001</v>
      </c>
      <c r="E40" s="2">
        <v>488657.47775000002</v>
      </c>
      <c r="F40" s="2">
        <v>0</v>
      </c>
      <c r="G40" s="2">
        <v>93136.082685999994</v>
      </c>
      <c r="H40" s="2">
        <v>47863.679799999998</v>
      </c>
      <c r="I40" s="2">
        <v>0</v>
      </c>
      <c r="J40" s="2">
        <v>2810996.57339</v>
      </c>
      <c r="K40" s="2">
        <v>22945.173750000002</v>
      </c>
      <c r="L40" s="2"/>
      <c r="M40" s="2">
        <v>387835.27034300001</v>
      </c>
      <c r="N40" s="2">
        <v>138766.47386900001</v>
      </c>
      <c r="O40" s="2">
        <v>38172.622600000002</v>
      </c>
      <c r="P40" s="2">
        <v>945.58204999999998</v>
      </c>
      <c r="Q40" s="2">
        <v>0</v>
      </c>
      <c r="R40" s="178">
        <v>104187.86639999991</v>
      </c>
    </row>
    <row r="41" spans="2:18">
      <c r="B41" s="177" t="s">
        <v>3</v>
      </c>
      <c r="C41" s="2" t="s">
        <v>49</v>
      </c>
      <c r="D41" s="2">
        <v>43320000</v>
      </c>
      <c r="E41" s="2">
        <v>710000</v>
      </c>
      <c r="F41" s="2">
        <v>120000</v>
      </c>
      <c r="G41" s="2">
        <v>150000</v>
      </c>
      <c r="H41" s="2">
        <v>220000</v>
      </c>
      <c r="I41" s="2">
        <v>1310000</v>
      </c>
      <c r="J41" s="2">
        <v>0</v>
      </c>
      <c r="K41" s="2">
        <v>10000</v>
      </c>
      <c r="L41" s="2">
        <v>0</v>
      </c>
      <c r="M41" s="2">
        <v>430000</v>
      </c>
      <c r="N41" s="2">
        <v>190000</v>
      </c>
      <c r="O41" s="2">
        <v>40000</v>
      </c>
      <c r="P41" s="2">
        <v>4000</v>
      </c>
      <c r="Q41" s="2">
        <v>0</v>
      </c>
      <c r="R41" s="178">
        <v>50000</v>
      </c>
    </row>
    <row r="42" spans="2:18">
      <c r="B42" s="177" t="s">
        <v>3</v>
      </c>
      <c r="C42" s="2" t="s">
        <v>42</v>
      </c>
      <c r="D42" s="2">
        <v>4077621.30657</v>
      </c>
      <c r="E42" s="2">
        <v>109916.71924400001</v>
      </c>
      <c r="F42" s="2">
        <v>0</v>
      </c>
      <c r="G42" s="2">
        <v>105649.4411</v>
      </c>
      <c r="H42" s="2">
        <v>0</v>
      </c>
      <c r="I42" s="2">
        <v>0</v>
      </c>
      <c r="J42" s="2">
        <v>2072940.5639899999</v>
      </c>
      <c r="K42" s="2">
        <v>15248.063283</v>
      </c>
      <c r="L42" s="2"/>
      <c r="M42" s="2">
        <v>120371.475659</v>
      </c>
      <c r="N42" s="2">
        <v>79260.199970999995</v>
      </c>
      <c r="O42" s="2">
        <v>77369.927116000006</v>
      </c>
      <c r="P42" s="2">
        <v>4332.0607499999996</v>
      </c>
      <c r="Q42" s="2">
        <v>3990.69</v>
      </c>
      <c r="R42" s="178">
        <v>155326.7304</v>
      </c>
    </row>
    <row r="43" spans="2:18">
      <c r="B43" s="177" t="s">
        <v>3</v>
      </c>
      <c r="C43" s="2" t="s">
        <v>46</v>
      </c>
      <c r="D43" s="2">
        <v>2580000</v>
      </c>
      <c r="E43" s="2">
        <v>270000</v>
      </c>
      <c r="F43" s="2">
        <v>30000</v>
      </c>
      <c r="G43" s="2">
        <v>20000</v>
      </c>
      <c r="H43" s="2">
        <v>0</v>
      </c>
      <c r="I43" s="2">
        <v>970000</v>
      </c>
      <c r="J43" s="2">
        <v>0</v>
      </c>
      <c r="K43" s="2">
        <v>0</v>
      </c>
      <c r="L43" s="2">
        <v>0</v>
      </c>
      <c r="M43" s="2">
        <v>130000</v>
      </c>
      <c r="N43" s="2">
        <v>0</v>
      </c>
      <c r="O43" s="2">
        <v>40000</v>
      </c>
      <c r="P43" s="2">
        <v>0</v>
      </c>
      <c r="Q43" s="2">
        <v>0</v>
      </c>
      <c r="R43" s="178">
        <v>90000</v>
      </c>
    </row>
    <row r="44" spans="2:18" ht="15.75" thickBot="1">
      <c r="B44" s="179" t="s">
        <v>3</v>
      </c>
      <c r="C44" s="180" t="s">
        <v>51</v>
      </c>
      <c r="D44" s="180">
        <v>2990000</v>
      </c>
      <c r="E44" s="180">
        <v>50000</v>
      </c>
      <c r="F44" s="180">
        <v>0</v>
      </c>
      <c r="G44" s="180">
        <v>40000</v>
      </c>
      <c r="H44" s="180">
        <v>10000</v>
      </c>
      <c r="I44" s="180">
        <v>1180000</v>
      </c>
      <c r="J44" s="180">
        <v>0</v>
      </c>
      <c r="K44" s="180">
        <v>0</v>
      </c>
      <c r="L44" s="180">
        <v>0</v>
      </c>
      <c r="M44" s="180">
        <v>130000</v>
      </c>
      <c r="N44" s="180">
        <v>40000</v>
      </c>
      <c r="O44" s="180">
        <v>20000</v>
      </c>
      <c r="P44" s="180">
        <v>1000</v>
      </c>
      <c r="Q44" s="180">
        <v>0</v>
      </c>
      <c r="R44" s="181">
        <v>110000</v>
      </c>
    </row>
    <row r="45" spans="2:18">
      <c r="B45" s="174" t="s">
        <v>7</v>
      </c>
      <c r="C45" s="175" t="s">
        <v>38</v>
      </c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6"/>
    </row>
    <row r="46" spans="2:18" ht="15.75" thickBot="1">
      <c r="B46" s="179" t="s">
        <v>7</v>
      </c>
      <c r="C46" s="180" t="s">
        <v>37</v>
      </c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1"/>
    </row>
    <row r="48" spans="2:18" ht="18.75">
      <c r="B48" s="171" t="s">
        <v>195</v>
      </c>
      <c r="C48" s="108"/>
    </row>
    <row r="49" spans="2:18" ht="90.75" thickBot="1">
      <c r="B49" s="172" t="s">
        <v>76</v>
      </c>
      <c r="C49" s="172" t="s">
        <v>77</v>
      </c>
      <c r="D49" s="173" t="s">
        <v>182</v>
      </c>
      <c r="E49" s="173" t="s">
        <v>183</v>
      </c>
      <c r="F49" s="173" t="s">
        <v>184</v>
      </c>
      <c r="G49" s="173" t="s">
        <v>185</v>
      </c>
      <c r="H49" s="173" t="s">
        <v>186</v>
      </c>
      <c r="I49" s="173" t="s">
        <v>180</v>
      </c>
      <c r="J49" s="173" t="s">
        <v>181</v>
      </c>
      <c r="K49" s="173" t="s">
        <v>187</v>
      </c>
      <c r="L49" s="173" t="s">
        <v>188</v>
      </c>
      <c r="M49" s="173" t="s">
        <v>189</v>
      </c>
      <c r="N49" s="173" t="s">
        <v>190</v>
      </c>
      <c r="O49" s="173" t="s">
        <v>191</v>
      </c>
      <c r="P49" s="173" t="s">
        <v>192</v>
      </c>
      <c r="Q49" s="173" t="s">
        <v>193</v>
      </c>
      <c r="R49" s="173" t="s">
        <v>194</v>
      </c>
    </row>
    <row r="50" spans="2:18">
      <c r="B50" s="174" t="s">
        <v>4</v>
      </c>
      <c r="C50" s="175" t="s">
        <v>65</v>
      </c>
      <c r="D50" s="175">
        <f>D6/(VLOOKUP($C50,'Main database'!$B$3:$C$45,2,FALSE)*1000000)</f>
        <v>9.1820583179994184E-3</v>
      </c>
      <c r="E50" s="175">
        <f>E6/(VLOOKUP($C50,'Main database'!$B$3:$C$45,2,FALSE)*1000000)</f>
        <v>0</v>
      </c>
      <c r="F50" s="175">
        <f>F6/(VLOOKUP($C50,'Main database'!$B$3:$C$45,2,FALSE)*1000000)</f>
        <v>1.2250415905866967E-4</v>
      </c>
      <c r="G50" s="175">
        <f>G6/(VLOOKUP($C50,'Main database'!$B$3:$C$45,2,FALSE)*1000000)</f>
        <v>0</v>
      </c>
      <c r="H50" s="175">
        <f>H6/(VLOOKUP($C50,'Main database'!$B$3:$C$45,2,FALSE)*1000000)</f>
        <v>0</v>
      </c>
      <c r="I50" s="175">
        <f>I6/(VLOOKUP($C50,'Main database'!$B$3:$C$45,2,FALSE)*1000000)</f>
        <v>0</v>
      </c>
      <c r="J50" s="175">
        <f>J6/(VLOOKUP($C50,'Main database'!$B$3:$C$45,2,FALSE)*1000000)</f>
        <v>0</v>
      </c>
      <c r="K50" s="175">
        <f>K6/(VLOOKUP($C50,'Main database'!$B$3:$C$45,2,FALSE)*1000000)</f>
        <v>0</v>
      </c>
      <c r="L50" s="175">
        <f>L6/(VLOOKUP($C50,'Main database'!$B$3:$C$45,2,FALSE)*1000000)</f>
        <v>0</v>
      </c>
      <c r="M50" s="175">
        <f>M6/(VLOOKUP($C50,'Main database'!$B$3:$C$45,2,FALSE)*1000000)</f>
        <v>8.2093341849935556E-3</v>
      </c>
      <c r="N50" s="175">
        <f>N6/(VLOOKUP($C50,'Main database'!$B$3:$C$45,2,FALSE)*1000000)</f>
        <v>0</v>
      </c>
      <c r="O50" s="175">
        <f>O6/(VLOOKUP($C50,'Main database'!$B$3:$C$45,2,FALSE)*1000000)</f>
        <v>3.2250754485535874E-5</v>
      </c>
      <c r="P50" s="175">
        <f>P6/(VLOOKUP($C50,'Main database'!$B$3:$C$45,2,FALSE)*1000000)</f>
        <v>0</v>
      </c>
      <c r="Q50" s="175">
        <f>Q6/(VLOOKUP($C50,'Main database'!$B$3:$C$45,2,FALSE)*1000000)</f>
        <v>0</v>
      </c>
      <c r="R50" s="176">
        <f>R6/(VLOOKUP($C50,'Main database'!$B$3:$C$45,2,FALSE)*1000000)</f>
        <v>8.8444169919201193E-4</v>
      </c>
    </row>
    <row r="51" spans="2:18">
      <c r="B51" s="177" t="s">
        <v>4</v>
      </c>
      <c r="C51" s="2" t="s">
        <v>66</v>
      </c>
      <c r="D51" s="2">
        <f>D7/(VLOOKUP($C51,'Main database'!$B$3:$C$45,2,FALSE)*1000000)</f>
        <v>5.6419165862391374E-3</v>
      </c>
      <c r="E51" s="2">
        <f>E7/(VLOOKUP($C51,'Main database'!$B$3:$C$45,2,FALSE)*1000000)</f>
        <v>0</v>
      </c>
      <c r="F51" s="2">
        <f>F7/(VLOOKUP($C51,'Main database'!$B$3:$C$45,2,FALSE)*1000000)</f>
        <v>2.4265168060454546E-5</v>
      </c>
      <c r="G51" s="2">
        <f>G7/(VLOOKUP($C51,'Main database'!$B$3:$C$45,2,FALSE)*1000000)</f>
        <v>0</v>
      </c>
      <c r="H51" s="2">
        <f>H7/(VLOOKUP($C51,'Main database'!$B$3:$C$45,2,FALSE)*1000000)</f>
        <v>0</v>
      </c>
      <c r="I51" s="2">
        <f>I7/(VLOOKUP($C51,'Main database'!$B$3:$C$45,2,FALSE)*1000000)</f>
        <v>0</v>
      </c>
      <c r="J51" s="2">
        <f>J7/(VLOOKUP($C51,'Main database'!$B$3:$C$45,2,FALSE)*1000000)</f>
        <v>0</v>
      </c>
      <c r="K51" s="2">
        <f>K7/(VLOOKUP($C51,'Main database'!$B$3:$C$45,2,FALSE)*1000000)</f>
        <v>3.1360683369533168E-6</v>
      </c>
      <c r="L51" s="2">
        <f>L7/(VLOOKUP($C51,'Main database'!$B$3:$C$45,2,FALSE)*1000000)</f>
        <v>0</v>
      </c>
      <c r="M51" s="2">
        <f>M7/(VLOOKUP($C51,'Main database'!$B$3:$C$45,2,FALSE)*1000000)</f>
        <v>1.7828855401265608E-3</v>
      </c>
      <c r="N51" s="2">
        <f>N7/(VLOOKUP($C51,'Main database'!$B$3:$C$45,2,FALSE)*1000000)</f>
        <v>0</v>
      </c>
      <c r="O51" s="2">
        <f>O7/(VLOOKUP($C51,'Main database'!$B$3:$C$45,2,FALSE)*1000000)</f>
        <v>6.7537093953071262E-6</v>
      </c>
      <c r="P51" s="2">
        <f>P7/(VLOOKUP($C51,'Main database'!$B$3:$C$45,2,FALSE)*1000000)</f>
        <v>0</v>
      </c>
      <c r="Q51" s="2">
        <f>Q7/(VLOOKUP($C51,'Main database'!$B$3:$C$45,2,FALSE)*1000000)</f>
        <v>0</v>
      </c>
      <c r="R51" s="178">
        <f>R7/(VLOOKUP($C51,'Main database'!$B$3:$C$45,2,FALSE)*1000000)</f>
        <v>9.3003824858662159E-5</v>
      </c>
    </row>
    <row r="52" spans="2:18">
      <c r="B52" s="177" t="s">
        <v>4</v>
      </c>
      <c r="C52" s="2" t="s">
        <v>64</v>
      </c>
      <c r="D52" s="2">
        <f>D8/(VLOOKUP($C52,'Main database'!$B$3:$C$45,2,FALSE)*1000000)</f>
        <v>9.5580963660045117E-3</v>
      </c>
      <c r="E52" s="2">
        <f>E8/(VLOOKUP($C52,'Main database'!$B$3:$C$45,2,FALSE)*1000000)</f>
        <v>0</v>
      </c>
      <c r="F52" s="2">
        <f>F8/(VLOOKUP($C52,'Main database'!$B$3:$C$45,2,FALSE)*1000000)</f>
        <v>0</v>
      </c>
      <c r="G52" s="2">
        <f>G8/(VLOOKUP($C52,'Main database'!$B$3:$C$45,2,FALSE)*1000000)</f>
        <v>0</v>
      </c>
      <c r="H52" s="2">
        <f>H8/(VLOOKUP($C52,'Main database'!$B$3:$C$45,2,FALSE)*1000000)</f>
        <v>0</v>
      </c>
      <c r="I52" s="2">
        <f>I8/(VLOOKUP($C52,'Main database'!$B$3:$C$45,2,FALSE)*1000000)</f>
        <v>0</v>
      </c>
      <c r="J52" s="2">
        <f>J8/(VLOOKUP($C52,'Main database'!$B$3:$C$45,2,FALSE)*1000000)</f>
        <v>0</v>
      </c>
      <c r="K52" s="2">
        <f>K8/(VLOOKUP($C52,'Main database'!$B$3:$C$45,2,FALSE)*1000000)</f>
        <v>0</v>
      </c>
      <c r="L52" s="2">
        <f>L8/(VLOOKUP($C52,'Main database'!$B$3:$C$45,2,FALSE)*1000000)</f>
        <v>0</v>
      </c>
      <c r="M52" s="2">
        <f>M8/(VLOOKUP($C52,'Main database'!$B$3:$C$45,2,FALSE)*1000000)</f>
        <v>1.0404173251794532E-2</v>
      </c>
      <c r="N52" s="2">
        <f>N8/(VLOOKUP($C52,'Main database'!$B$3:$C$45,2,FALSE)*1000000)</f>
        <v>0</v>
      </c>
      <c r="O52" s="2">
        <f>O8/(VLOOKUP($C52,'Main database'!$B$3:$C$45,2,FALSE)*1000000)</f>
        <v>5.5160540880941178E-5</v>
      </c>
      <c r="P52" s="2">
        <f>P8/(VLOOKUP($C52,'Main database'!$B$3:$C$45,2,FALSE)*1000000)</f>
        <v>0</v>
      </c>
      <c r="Q52" s="2">
        <f>Q8/(VLOOKUP($C52,'Main database'!$B$3:$C$45,2,FALSE)*1000000)</f>
        <v>0</v>
      </c>
      <c r="R52" s="178">
        <f>R8/(VLOOKUP($C52,'Main database'!$B$3:$C$45,2,FALSE)*1000000)</f>
        <v>6.4244163873235303E-4</v>
      </c>
    </row>
    <row r="53" spans="2:18">
      <c r="B53" s="177" t="s">
        <v>4</v>
      </c>
      <c r="C53" s="2" t="s">
        <v>44</v>
      </c>
      <c r="D53" s="2">
        <f>D9/(VLOOKUP($C53,'Main database'!$B$3:$C$45,2,FALSE)*1000000)</f>
        <v>8.8372495285195703E-3</v>
      </c>
      <c r="E53" s="2">
        <f>E9/(VLOOKUP($C53,'Main database'!$B$3:$C$45,2,FALSE)*1000000)</f>
        <v>8.049403917296703E-6</v>
      </c>
      <c r="F53" s="2">
        <f>F9/(VLOOKUP($C53,'Main database'!$B$3:$C$45,2,FALSE)*1000000)</f>
        <v>3.1212316256901098E-5</v>
      </c>
      <c r="G53" s="2">
        <f>G9/(VLOOKUP($C53,'Main database'!$B$3:$C$45,2,FALSE)*1000000)</f>
        <v>0</v>
      </c>
      <c r="H53" s="2">
        <f>H9/(VLOOKUP($C53,'Main database'!$B$3:$C$45,2,FALSE)*1000000)</f>
        <v>0</v>
      </c>
      <c r="I53" s="2">
        <f>I9/(VLOOKUP($C53,'Main database'!$B$3:$C$45,2,FALSE)*1000000)</f>
        <v>0</v>
      </c>
      <c r="J53" s="2">
        <f>J9/(VLOOKUP($C53,'Main database'!$B$3:$C$45,2,FALSE)*1000000)</f>
        <v>0</v>
      </c>
      <c r="K53" s="2">
        <f>K9/(VLOOKUP($C53,'Main database'!$B$3:$C$45,2,FALSE)*1000000)</f>
        <v>1.0333451027054945E-5</v>
      </c>
      <c r="L53" s="2">
        <f>L9/(VLOOKUP($C53,'Main database'!$B$3:$C$45,2,FALSE)*1000000)</f>
        <v>0</v>
      </c>
      <c r="M53" s="2">
        <f>M9/(VLOOKUP($C53,'Main database'!$B$3:$C$45,2,FALSE)*1000000)</f>
        <v>1.2892837226539606E-3</v>
      </c>
      <c r="N53" s="2">
        <f>N9/(VLOOKUP($C53,'Main database'!$B$3:$C$45,2,FALSE)*1000000)</f>
        <v>0</v>
      </c>
      <c r="O53" s="2">
        <f>O9/(VLOOKUP($C53,'Main database'!$B$3:$C$45,2,FALSE)*1000000)</f>
        <v>6.9285777030549455E-6</v>
      </c>
      <c r="P53" s="2">
        <f>P9/(VLOOKUP($C53,'Main database'!$B$3:$C$45,2,FALSE)*1000000)</f>
        <v>0</v>
      </c>
      <c r="Q53" s="2">
        <f>Q9/(VLOOKUP($C53,'Main database'!$B$3:$C$45,2,FALSE)*1000000)</f>
        <v>0</v>
      </c>
      <c r="R53" s="178">
        <f>R9/(VLOOKUP($C53,'Main database'!$B$3:$C$45,2,FALSE)*1000000)</f>
        <v>7.8995324492791197E-5</v>
      </c>
    </row>
    <row r="54" spans="2:18" ht="15.75" thickBot="1">
      <c r="B54" s="179" t="s">
        <v>4</v>
      </c>
      <c r="C54" s="180" t="s">
        <v>67</v>
      </c>
      <c r="D54" s="180">
        <f>D10/(VLOOKUP($C54,'Main database'!$B$3:$C$45,2,FALSE)*1000000)</f>
        <v>1.1485152828749829E-2</v>
      </c>
      <c r="E54" s="180">
        <f>E10/(VLOOKUP($C54,'Main database'!$B$3:$C$45,2,FALSE)*1000000)</f>
        <v>0</v>
      </c>
      <c r="F54" s="180">
        <f>F10/(VLOOKUP($C54,'Main database'!$B$3:$C$45,2,FALSE)*1000000)</f>
        <v>4.4016722036965814E-5</v>
      </c>
      <c r="G54" s="180">
        <f>G10/(VLOOKUP($C54,'Main database'!$B$3:$C$45,2,FALSE)*1000000)</f>
        <v>0</v>
      </c>
      <c r="H54" s="180">
        <f>H10/(VLOOKUP($C54,'Main database'!$B$3:$C$45,2,FALSE)*1000000)</f>
        <v>0</v>
      </c>
      <c r="I54" s="180">
        <f>I10/(VLOOKUP($C54,'Main database'!$B$3:$C$45,2,FALSE)*1000000)</f>
        <v>0</v>
      </c>
      <c r="J54" s="180">
        <f>J10/(VLOOKUP($C54,'Main database'!$B$3:$C$45,2,FALSE)*1000000)</f>
        <v>0</v>
      </c>
      <c r="K54" s="180">
        <f>K10/(VLOOKUP($C54,'Main database'!$B$3:$C$45,2,FALSE)*1000000)</f>
        <v>0</v>
      </c>
      <c r="L54" s="180">
        <f>L10/(VLOOKUP($C54,'Main database'!$B$3:$C$45,2,FALSE)*1000000)</f>
        <v>0</v>
      </c>
      <c r="M54" s="180">
        <f>M10/(VLOOKUP($C54,'Main database'!$B$3:$C$45,2,FALSE)*1000000)</f>
        <v>7.6450855267799394E-3</v>
      </c>
      <c r="N54" s="180">
        <f>N10/(VLOOKUP($C54,'Main database'!$B$3:$C$45,2,FALSE)*1000000)</f>
        <v>0</v>
      </c>
      <c r="O54" s="180">
        <f>O10/(VLOOKUP($C54,'Main database'!$B$3:$C$45,2,FALSE)*1000000)</f>
        <v>2.0088382908119659E-5</v>
      </c>
      <c r="P54" s="180">
        <f>P10/(VLOOKUP($C54,'Main database'!$B$3:$C$45,2,FALSE)*1000000)</f>
        <v>0</v>
      </c>
      <c r="Q54" s="180">
        <f>Q10/(VLOOKUP($C54,'Main database'!$B$3:$C$45,2,FALSE)*1000000)</f>
        <v>0</v>
      </c>
      <c r="R54" s="181">
        <f>R10/(VLOOKUP($C54,'Main database'!$B$3:$C$45,2,FALSE)*1000000)</f>
        <v>1.5126486502314816E-4</v>
      </c>
    </row>
    <row r="55" spans="2:18">
      <c r="B55" s="174" t="s">
        <v>5</v>
      </c>
      <c r="C55" s="175" t="s">
        <v>34</v>
      </c>
      <c r="D55" s="175">
        <f>D11/(VLOOKUP($C55,'Main database'!$B$3:$C$45,2,FALSE)*1000000)</f>
        <v>0</v>
      </c>
      <c r="E55" s="175">
        <f>E11/(VLOOKUP($C55,'Main database'!$B$3:$C$45,2,FALSE)*1000000)</f>
        <v>0</v>
      </c>
      <c r="F55" s="175">
        <f>F11/(VLOOKUP($C55,'Main database'!$B$3:$C$45,2,FALSE)*1000000)</f>
        <v>0</v>
      </c>
      <c r="G55" s="175">
        <f>G11/(VLOOKUP($C55,'Main database'!$B$3:$C$45,2,FALSE)*1000000)</f>
        <v>0</v>
      </c>
      <c r="H55" s="175">
        <f>H11/(VLOOKUP($C55,'Main database'!$B$3:$C$45,2,FALSE)*1000000)</f>
        <v>0</v>
      </c>
      <c r="I55" s="175">
        <f>I11/(VLOOKUP($C55,'Main database'!$B$3:$C$45,2,FALSE)*1000000)</f>
        <v>0</v>
      </c>
      <c r="J55" s="175">
        <f>J11/(VLOOKUP($C55,'Main database'!$B$3:$C$45,2,FALSE)*1000000)</f>
        <v>0</v>
      </c>
      <c r="K55" s="175">
        <f>K11/(VLOOKUP($C55,'Main database'!$B$3:$C$45,2,FALSE)*1000000)</f>
        <v>0</v>
      </c>
      <c r="L55" s="175">
        <f>L11/(VLOOKUP($C55,'Main database'!$B$3:$C$45,2,FALSE)*1000000)</f>
        <v>0</v>
      </c>
      <c r="M55" s="175">
        <f>M11/(VLOOKUP($C55,'Main database'!$B$3:$C$45,2,FALSE)*1000000)</f>
        <v>0</v>
      </c>
      <c r="N55" s="175">
        <f>N11/(VLOOKUP($C55,'Main database'!$B$3:$C$45,2,FALSE)*1000000)</f>
        <v>0</v>
      </c>
      <c r="O55" s="175">
        <f>O11/(VLOOKUP($C55,'Main database'!$B$3:$C$45,2,FALSE)*1000000)</f>
        <v>0</v>
      </c>
      <c r="P55" s="175">
        <f>P11/(VLOOKUP($C55,'Main database'!$B$3:$C$45,2,FALSE)*1000000)</f>
        <v>0</v>
      </c>
      <c r="Q55" s="175">
        <f>Q11/(VLOOKUP($C55,'Main database'!$B$3:$C$45,2,FALSE)*1000000)</f>
        <v>0</v>
      </c>
      <c r="R55" s="176">
        <f>R11/(VLOOKUP($C55,'Main database'!$B$3:$C$45,2,FALSE)*1000000)</f>
        <v>0</v>
      </c>
    </row>
    <row r="56" spans="2:18">
      <c r="B56" s="177" t="s">
        <v>5</v>
      </c>
      <c r="C56" s="2" t="s">
        <v>35</v>
      </c>
      <c r="D56" s="2">
        <f>D12/(VLOOKUP($C56,'Main database'!$B$3:$C$45,2,FALSE)*1000000)</f>
        <v>0</v>
      </c>
      <c r="E56" s="2">
        <f>E12/(VLOOKUP($C56,'Main database'!$B$3:$C$45,2,FALSE)*1000000)</f>
        <v>0</v>
      </c>
      <c r="F56" s="2">
        <f>F12/(VLOOKUP($C56,'Main database'!$B$3:$C$45,2,FALSE)*1000000)</f>
        <v>0</v>
      </c>
      <c r="G56" s="2">
        <f>G12/(VLOOKUP($C56,'Main database'!$B$3:$C$45,2,FALSE)*1000000)</f>
        <v>0</v>
      </c>
      <c r="H56" s="2">
        <f>H12/(VLOOKUP($C56,'Main database'!$B$3:$C$45,2,FALSE)*1000000)</f>
        <v>0</v>
      </c>
      <c r="I56" s="2">
        <f>I12/(VLOOKUP($C56,'Main database'!$B$3:$C$45,2,FALSE)*1000000)</f>
        <v>0</v>
      </c>
      <c r="J56" s="2">
        <f>J12/(VLOOKUP($C56,'Main database'!$B$3:$C$45,2,FALSE)*1000000)</f>
        <v>0</v>
      </c>
      <c r="K56" s="2">
        <f>K12/(VLOOKUP($C56,'Main database'!$B$3:$C$45,2,FALSE)*1000000)</f>
        <v>0</v>
      </c>
      <c r="L56" s="2">
        <f>L12/(VLOOKUP($C56,'Main database'!$B$3:$C$45,2,FALSE)*1000000)</f>
        <v>0</v>
      </c>
      <c r="M56" s="2">
        <f>M12/(VLOOKUP($C56,'Main database'!$B$3:$C$45,2,FALSE)*1000000)</f>
        <v>0</v>
      </c>
      <c r="N56" s="2">
        <f>N12/(VLOOKUP($C56,'Main database'!$B$3:$C$45,2,FALSE)*1000000)</f>
        <v>0</v>
      </c>
      <c r="O56" s="2">
        <f>O12/(VLOOKUP($C56,'Main database'!$B$3:$C$45,2,FALSE)*1000000)</f>
        <v>0</v>
      </c>
      <c r="P56" s="2">
        <f>P12/(VLOOKUP($C56,'Main database'!$B$3:$C$45,2,FALSE)*1000000)</f>
        <v>0</v>
      </c>
      <c r="Q56" s="2">
        <f>Q12/(VLOOKUP($C56,'Main database'!$B$3:$C$45,2,FALSE)*1000000)</f>
        <v>0</v>
      </c>
      <c r="R56" s="178">
        <f>R12/(VLOOKUP($C56,'Main database'!$B$3:$C$45,2,FALSE)*1000000)</f>
        <v>0</v>
      </c>
    </row>
    <row r="57" spans="2:18">
      <c r="B57" s="177" t="s">
        <v>5</v>
      </c>
      <c r="C57" s="2" t="s">
        <v>36</v>
      </c>
      <c r="D57" s="2">
        <f>D13/(VLOOKUP($C57,'Main database'!$B$3:$C$45,2,FALSE)*1000000)</f>
        <v>0</v>
      </c>
      <c r="E57" s="2">
        <f>E13/(VLOOKUP($C57,'Main database'!$B$3:$C$45,2,FALSE)*1000000)</f>
        <v>0</v>
      </c>
      <c r="F57" s="2">
        <f>F13/(VLOOKUP($C57,'Main database'!$B$3:$C$45,2,FALSE)*1000000)</f>
        <v>0</v>
      </c>
      <c r="G57" s="2">
        <f>G13/(VLOOKUP($C57,'Main database'!$B$3:$C$45,2,FALSE)*1000000)</f>
        <v>0</v>
      </c>
      <c r="H57" s="2">
        <f>H13/(VLOOKUP($C57,'Main database'!$B$3:$C$45,2,FALSE)*1000000)</f>
        <v>0</v>
      </c>
      <c r="I57" s="2">
        <f>I13/(VLOOKUP($C57,'Main database'!$B$3:$C$45,2,FALSE)*1000000)</f>
        <v>0</v>
      </c>
      <c r="J57" s="2">
        <f>J13/(VLOOKUP($C57,'Main database'!$B$3:$C$45,2,FALSE)*1000000)</f>
        <v>0</v>
      </c>
      <c r="K57" s="2">
        <f>K13/(VLOOKUP($C57,'Main database'!$B$3:$C$45,2,FALSE)*1000000)</f>
        <v>0</v>
      </c>
      <c r="L57" s="2">
        <f>L13/(VLOOKUP($C57,'Main database'!$B$3:$C$45,2,FALSE)*1000000)</f>
        <v>0</v>
      </c>
      <c r="M57" s="2">
        <f>M13/(VLOOKUP($C57,'Main database'!$B$3:$C$45,2,FALSE)*1000000)</f>
        <v>0</v>
      </c>
      <c r="N57" s="2">
        <f>N13/(VLOOKUP($C57,'Main database'!$B$3:$C$45,2,FALSE)*1000000)</f>
        <v>0</v>
      </c>
      <c r="O57" s="2">
        <f>O13/(VLOOKUP($C57,'Main database'!$B$3:$C$45,2,FALSE)*1000000)</f>
        <v>0</v>
      </c>
      <c r="P57" s="2">
        <f>P13/(VLOOKUP($C57,'Main database'!$B$3:$C$45,2,FALSE)*1000000)</f>
        <v>0</v>
      </c>
      <c r="Q57" s="2">
        <f>Q13/(VLOOKUP($C57,'Main database'!$B$3:$C$45,2,FALSE)*1000000)</f>
        <v>0</v>
      </c>
      <c r="R57" s="178">
        <f>R13/(VLOOKUP($C57,'Main database'!$B$3:$C$45,2,FALSE)*1000000)</f>
        <v>0</v>
      </c>
    </row>
    <row r="58" spans="2:18">
      <c r="B58" s="177" t="s">
        <v>5</v>
      </c>
      <c r="C58" s="2" t="s">
        <v>30</v>
      </c>
      <c r="D58" s="2">
        <f>D14/(VLOOKUP($C58,'Main database'!$B$3:$C$45,2,FALSE)*1000000)</f>
        <v>0</v>
      </c>
      <c r="E58" s="2">
        <f>E14/(VLOOKUP($C58,'Main database'!$B$3:$C$45,2,FALSE)*1000000)</f>
        <v>0</v>
      </c>
      <c r="F58" s="2">
        <f>F14/(VLOOKUP($C58,'Main database'!$B$3:$C$45,2,FALSE)*1000000)</f>
        <v>0</v>
      </c>
      <c r="G58" s="2">
        <f>G14/(VLOOKUP($C58,'Main database'!$B$3:$C$45,2,FALSE)*1000000)</f>
        <v>0</v>
      </c>
      <c r="H58" s="2">
        <f>H14/(VLOOKUP($C58,'Main database'!$B$3:$C$45,2,FALSE)*1000000)</f>
        <v>0</v>
      </c>
      <c r="I58" s="2">
        <f>I14/(VLOOKUP($C58,'Main database'!$B$3:$C$45,2,FALSE)*1000000)</f>
        <v>0</v>
      </c>
      <c r="J58" s="2">
        <f>J14/(VLOOKUP($C58,'Main database'!$B$3:$C$45,2,FALSE)*1000000)</f>
        <v>0</v>
      </c>
      <c r="K58" s="2">
        <f>K14/(VLOOKUP($C58,'Main database'!$B$3:$C$45,2,FALSE)*1000000)</f>
        <v>0</v>
      </c>
      <c r="L58" s="2">
        <f>L14/(VLOOKUP($C58,'Main database'!$B$3:$C$45,2,FALSE)*1000000)</f>
        <v>0</v>
      </c>
      <c r="M58" s="2">
        <f>M14/(VLOOKUP($C58,'Main database'!$B$3:$C$45,2,FALSE)*1000000)</f>
        <v>0</v>
      </c>
      <c r="N58" s="2">
        <f>N14/(VLOOKUP($C58,'Main database'!$B$3:$C$45,2,FALSE)*1000000)</f>
        <v>0</v>
      </c>
      <c r="O58" s="2">
        <f>O14/(VLOOKUP($C58,'Main database'!$B$3:$C$45,2,FALSE)*1000000)</f>
        <v>0</v>
      </c>
      <c r="P58" s="2">
        <f>P14/(VLOOKUP($C58,'Main database'!$B$3:$C$45,2,FALSE)*1000000)</f>
        <v>0</v>
      </c>
      <c r="Q58" s="2">
        <f>Q14/(VLOOKUP($C58,'Main database'!$B$3:$C$45,2,FALSE)*1000000)</f>
        <v>0</v>
      </c>
      <c r="R58" s="178">
        <f>R14/(VLOOKUP($C58,'Main database'!$B$3:$C$45,2,FALSE)*1000000)</f>
        <v>0</v>
      </c>
    </row>
    <row r="59" spans="2:18">
      <c r="B59" s="177" t="s">
        <v>5</v>
      </c>
      <c r="C59" s="2" t="s">
        <v>32</v>
      </c>
      <c r="D59" s="2">
        <f>D15/(VLOOKUP($C59,'Main database'!$B$3:$C$45,2,FALSE)*1000000)</f>
        <v>0</v>
      </c>
      <c r="E59" s="2">
        <f>E15/(VLOOKUP($C59,'Main database'!$B$3:$C$45,2,FALSE)*1000000)</f>
        <v>0</v>
      </c>
      <c r="F59" s="2">
        <f>F15/(VLOOKUP($C59,'Main database'!$B$3:$C$45,2,FALSE)*1000000)</f>
        <v>0</v>
      </c>
      <c r="G59" s="2">
        <f>G15/(VLOOKUP($C59,'Main database'!$B$3:$C$45,2,FALSE)*1000000)</f>
        <v>0</v>
      </c>
      <c r="H59" s="2">
        <f>H15/(VLOOKUP($C59,'Main database'!$B$3:$C$45,2,FALSE)*1000000)</f>
        <v>0</v>
      </c>
      <c r="I59" s="2">
        <f>I15/(VLOOKUP($C59,'Main database'!$B$3:$C$45,2,FALSE)*1000000)</f>
        <v>0</v>
      </c>
      <c r="J59" s="2">
        <f>J15/(VLOOKUP($C59,'Main database'!$B$3:$C$45,2,FALSE)*1000000)</f>
        <v>0</v>
      </c>
      <c r="K59" s="2">
        <f>K15/(VLOOKUP($C59,'Main database'!$B$3:$C$45,2,FALSE)*1000000)</f>
        <v>0</v>
      </c>
      <c r="L59" s="2">
        <f>L15/(VLOOKUP($C59,'Main database'!$B$3:$C$45,2,FALSE)*1000000)</f>
        <v>0</v>
      </c>
      <c r="M59" s="2">
        <f>M15/(VLOOKUP($C59,'Main database'!$B$3:$C$45,2,FALSE)*1000000)</f>
        <v>0</v>
      </c>
      <c r="N59" s="2">
        <f>N15/(VLOOKUP($C59,'Main database'!$B$3:$C$45,2,FALSE)*1000000)</f>
        <v>0</v>
      </c>
      <c r="O59" s="2">
        <f>O15/(VLOOKUP($C59,'Main database'!$B$3:$C$45,2,FALSE)*1000000)</f>
        <v>0</v>
      </c>
      <c r="P59" s="2">
        <f>P15/(VLOOKUP($C59,'Main database'!$B$3:$C$45,2,FALSE)*1000000)</f>
        <v>0</v>
      </c>
      <c r="Q59" s="2">
        <f>Q15/(VLOOKUP($C59,'Main database'!$B$3:$C$45,2,FALSE)*1000000)</f>
        <v>0</v>
      </c>
      <c r="R59" s="178">
        <f>R15/(VLOOKUP($C59,'Main database'!$B$3:$C$45,2,FALSE)*1000000)</f>
        <v>0</v>
      </c>
    </row>
    <row r="60" spans="2:18" ht="15.75" thickBot="1">
      <c r="B60" s="179" t="s">
        <v>5</v>
      </c>
      <c r="C60" s="180" t="s">
        <v>33</v>
      </c>
      <c r="D60" s="180">
        <f>D16/(VLOOKUP($C60,'Main database'!$B$3:$C$45,2,FALSE)*1000000)</f>
        <v>0</v>
      </c>
      <c r="E60" s="180">
        <f>E16/(VLOOKUP($C60,'Main database'!$B$3:$C$45,2,FALSE)*1000000)</f>
        <v>0</v>
      </c>
      <c r="F60" s="180">
        <f>F16/(VLOOKUP($C60,'Main database'!$B$3:$C$45,2,FALSE)*1000000)</f>
        <v>0</v>
      </c>
      <c r="G60" s="180">
        <f>G16/(VLOOKUP($C60,'Main database'!$B$3:$C$45,2,FALSE)*1000000)</f>
        <v>0</v>
      </c>
      <c r="H60" s="180">
        <f>H16/(VLOOKUP($C60,'Main database'!$B$3:$C$45,2,FALSE)*1000000)</f>
        <v>0</v>
      </c>
      <c r="I60" s="180">
        <f>I16/(VLOOKUP($C60,'Main database'!$B$3:$C$45,2,FALSE)*1000000)</f>
        <v>0</v>
      </c>
      <c r="J60" s="180">
        <f>J16/(VLOOKUP($C60,'Main database'!$B$3:$C$45,2,FALSE)*1000000)</f>
        <v>0</v>
      </c>
      <c r="K60" s="180">
        <f>K16/(VLOOKUP($C60,'Main database'!$B$3:$C$45,2,FALSE)*1000000)</f>
        <v>0</v>
      </c>
      <c r="L60" s="180">
        <f>L16/(VLOOKUP($C60,'Main database'!$B$3:$C$45,2,FALSE)*1000000)</f>
        <v>0</v>
      </c>
      <c r="M60" s="180">
        <f>M16/(VLOOKUP($C60,'Main database'!$B$3:$C$45,2,FALSE)*1000000)</f>
        <v>0</v>
      </c>
      <c r="N60" s="180">
        <f>N16/(VLOOKUP($C60,'Main database'!$B$3:$C$45,2,FALSE)*1000000)</f>
        <v>0</v>
      </c>
      <c r="O60" s="180">
        <f>O16/(VLOOKUP($C60,'Main database'!$B$3:$C$45,2,FALSE)*1000000)</f>
        <v>0</v>
      </c>
      <c r="P60" s="180">
        <f>P16/(VLOOKUP($C60,'Main database'!$B$3:$C$45,2,FALSE)*1000000)</f>
        <v>0</v>
      </c>
      <c r="Q60" s="180">
        <f>Q16/(VLOOKUP($C60,'Main database'!$B$3:$C$45,2,FALSE)*1000000)</f>
        <v>0</v>
      </c>
      <c r="R60" s="181">
        <f>R16/(VLOOKUP($C60,'Main database'!$B$3:$C$45,2,FALSE)*1000000)</f>
        <v>0</v>
      </c>
    </row>
    <row r="61" spans="2:18">
      <c r="B61" s="174" t="s">
        <v>6</v>
      </c>
      <c r="C61" s="175" t="s">
        <v>53</v>
      </c>
      <c r="D61" s="175">
        <f>D17/(VLOOKUP($C61,'Main database'!$B$3:$C$45,2,FALSE)*1000000)</f>
        <v>0</v>
      </c>
      <c r="E61" s="175">
        <f>E17/(VLOOKUP($C61,'Main database'!$B$3:$C$45,2,FALSE)*1000000)</f>
        <v>0</v>
      </c>
      <c r="F61" s="175">
        <f>F17/(VLOOKUP($C61,'Main database'!$B$3:$C$45,2,FALSE)*1000000)</f>
        <v>0</v>
      </c>
      <c r="G61" s="175">
        <f>G17/(VLOOKUP($C61,'Main database'!$B$3:$C$45,2,FALSE)*1000000)</f>
        <v>0</v>
      </c>
      <c r="H61" s="175">
        <f>H17/(VLOOKUP($C61,'Main database'!$B$3:$C$45,2,FALSE)*1000000)</f>
        <v>0</v>
      </c>
      <c r="I61" s="175">
        <f>I17/(VLOOKUP($C61,'Main database'!$B$3:$C$45,2,FALSE)*1000000)</f>
        <v>0</v>
      </c>
      <c r="J61" s="175">
        <f>J17/(VLOOKUP($C61,'Main database'!$B$3:$C$45,2,FALSE)*1000000)</f>
        <v>0</v>
      </c>
      <c r="K61" s="175">
        <f>K17/(VLOOKUP($C61,'Main database'!$B$3:$C$45,2,FALSE)*1000000)</f>
        <v>0</v>
      </c>
      <c r="L61" s="175">
        <f>L17/(VLOOKUP($C61,'Main database'!$B$3:$C$45,2,FALSE)*1000000)</f>
        <v>0</v>
      </c>
      <c r="M61" s="175">
        <f>M17/(VLOOKUP($C61,'Main database'!$B$3:$C$45,2,FALSE)*1000000)</f>
        <v>0</v>
      </c>
      <c r="N61" s="175">
        <f>N17/(VLOOKUP($C61,'Main database'!$B$3:$C$45,2,FALSE)*1000000)</f>
        <v>0</v>
      </c>
      <c r="O61" s="175">
        <f>O17/(VLOOKUP($C61,'Main database'!$B$3:$C$45,2,FALSE)*1000000)</f>
        <v>0</v>
      </c>
      <c r="P61" s="175">
        <f>P17/(VLOOKUP($C61,'Main database'!$B$3:$C$45,2,FALSE)*1000000)</f>
        <v>0</v>
      </c>
      <c r="Q61" s="175">
        <f>Q17/(VLOOKUP($C61,'Main database'!$B$3:$C$45,2,FALSE)*1000000)</f>
        <v>0</v>
      </c>
      <c r="R61" s="176">
        <f>R17/(VLOOKUP($C61,'Main database'!$B$3:$C$45,2,FALSE)*1000000)</f>
        <v>0</v>
      </c>
    </row>
    <row r="62" spans="2:18">
      <c r="B62" s="177" t="s">
        <v>6</v>
      </c>
      <c r="C62" s="2" t="s">
        <v>54</v>
      </c>
      <c r="D62" s="2">
        <f>D18/(VLOOKUP($C62,'Main database'!$B$3:$C$45,2,FALSE)*1000000)</f>
        <v>0</v>
      </c>
      <c r="E62" s="2">
        <f>E18/(VLOOKUP($C62,'Main database'!$B$3:$C$45,2,FALSE)*1000000)</f>
        <v>0</v>
      </c>
      <c r="F62" s="2">
        <f>F18/(VLOOKUP($C62,'Main database'!$B$3:$C$45,2,FALSE)*1000000)</f>
        <v>0</v>
      </c>
      <c r="G62" s="2">
        <f>G18/(VLOOKUP($C62,'Main database'!$B$3:$C$45,2,FALSE)*1000000)</f>
        <v>0</v>
      </c>
      <c r="H62" s="2">
        <f>H18/(VLOOKUP($C62,'Main database'!$B$3:$C$45,2,FALSE)*1000000)</f>
        <v>0</v>
      </c>
      <c r="I62" s="2">
        <f>I18/(VLOOKUP($C62,'Main database'!$B$3:$C$45,2,FALSE)*1000000)</f>
        <v>0</v>
      </c>
      <c r="J62" s="2">
        <f>J18/(VLOOKUP($C62,'Main database'!$B$3:$C$45,2,FALSE)*1000000)</f>
        <v>0</v>
      </c>
      <c r="K62" s="2">
        <f>K18/(VLOOKUP($C62,'Main database'!$B$3:$C$45,2,FALSE)*1000000)</f>
        <v>0</v>
      </c>
      <c r="L62" s="2">
        <f>L18/(VLOOKUP($C62,'Main database'!$B$3:$C$45,2,FALSE)*1000000)</f>
        <v>0</v>
      </c>
      <c r="M62" s="2">
        <f>M18/(VLOOKUP($C62,'Main database'!$B$3:$C$45,2,FALSE)*1000000)</f>
        <v>0</v>
      </c>
      <c r="N62" s="2">
        <f>N18/(VLOOKUP($C62,'Main database'!$B$3:$C$45,2,FALSE)*1000000)</f>
        <v>0</v>
      </c>
      <c r="O62" s="2">
        <f>O18/(VLOOKUP($C62,'Main database'!$B$3:$C$45,2,FALSE)*1000000)</f>
        <v>0</v>
      </c>
      <c r="P62" s="2">
        <f>P18/(VLOOKUP($C62,'Main database'!$B$3:$C$45,2,FALSE)*1000000)</f>
        <v>0</v>
      </c>
      <c r="Q62" s="2">
        <f>Q18/(VLOOKUP($C62,'Main database'!$B$3:$C$45,2,FALSE)*1000000)</f>
        <v>0</v>
      </c>
      <c r="R62" s="178">
        <f>R18/(VLOOKUP($C62,'Main database'!$B$3:$C$45,2,FALSE)*1000000)</f>
        <v>0</v>
      </c>
    </row>
    <row r="63" spans="2:18">
      <c r="B63" s="177" t="s">
        <v>6</v>
      </c>
      <c r="C63" s="2" t="s">
        <v>52</v>
      </c>
      <c r="D63" s="2">
        <f>D19/(VLOOKUP($C63,'Main database'!$B$3:$C$45,2,FALSE)*1000000)</f>
        <v>0</v>
      </c>
      <c r="E63" s="2">
        <f>E19/(VLOOKUP($C63,'Main database'!$B$3:$C$45,2,FALSE)*1000000)</f>
        <v>0</v>
      </c>
      <c r="F63" s="2">
        <f>F19/(VLOOKUP($C63,'Main database'!$B$3:$C$45,2,FALSE)*1000000)</f>
        <v>0</v>
      </c>
      <c r="G63" s="2">
        <f>G19/(VLOOKUP($C63,'Main database'!$B$3:$C$45,2,FALSE)*1000000)</f>
        <v>0</v>
      </c>
      <c r="H63" s="2">
        <f>H19/(VLOOKUP($C63,'Main database'!$B$3:$C$45,2,FALSE)*1000000)</f>
        <v>0</v>
      </c>
      <c r="I63" s="2">
        <f>I19/(VLOOKUP($C63,'Main database'!$B$3:$C$45,2,FALSE)*1000000)</f>
        <v>0</v>
      </c>
      <c r="J63" s="2">
        <f>J19/(VLOOKUP($C63,'Main database'!$B$3:$C$45,2,FALSE)*1000000)</f>
        <v>0</v>
      </c>
      <c r="K63" s="2">
        <f>K19/(VLOOKUP($C63,'Main database'!$B$3:$C$45,2,FALSE)*1000000)</f>
        <v>0</v>
      </c>
      <c r="L63" s="2">
        <f>L19/(VLOOKUP($C63,'Main database'!$B$3:$C$45,2,FALSE)*1000000)</f>
        <v>0</v>
      </c>
      <c r="M63" s="2">
        <f>M19/(VLOOKUP($C63,'Main database'!$B$3:$C$45,2,FALSE)*1000000)</f>
        <v>0</v>
      </c>
      <c r="N63" s="2">
        <f>N19/(VLOOKUP($C63,'Main database'!$B$3:$C$45,2,FALSE)*1000000)</f>
        <v>0</v>
      </c>
      <c r="O63" s="2">
        <f>O19/(VLOOKUP($C63,'Main database'!$B$3:$C$45,2,FALSE)*1000000)</f>
        <v>0</v>
      </c>
      <c r="P63" s="2">
        <f>P19/(VLOOKUP($C63,'Main database'!$B$3:$C$45,2,FALSE)*1000000)</f>
        <v>0</v>
      </c>
      <c r="Q63" s="2">
        <f>Q19/(VLOOKUP($C63,'Main database'!$B$3:$C$45,2,FALSE)*1000000)</f>
        <v>0</v>
      </c>
      <c r="R63" s="178">
        <f>R19/(VLOOKUP($C63,'Main database'!$B$3:$C$45,2,FALSE)*1000000)</f>
        <v>0</v>
      </c>
    </row>
    <row r="64" spans="2:18">
      <c r="B64" s="177" t="s">
        <v>6</v>
      </c>
      <c r="C64" s="2" t="s">
        <v>39</v>
      </c>
      <c r="D64" s="2">
        <f>D20/(VLOOKUP($C64,'Main database'!$B$3:$C$45,2,FALSE)*1000000)</f>
        <v>0</v>
      </c>
      <c r="E64" s="2">
        <f>E20/(VLOOKUP($C64,'Main database'!$B$3:$C$45,2,FALSE)*1000000)</f>
        <v>0</v>
      </c>
      <c r="F64" s="2">
        <f>F20/(VLOOKUP($C64,'Main database'!$B$3:$C$45,2,FALSE)*1000000)</f>
        <v>0</v>
      </c>
      <c r="G64" s="2">
        <f>G20/(VLOOKUP($C64,'Main database'!$B$3:$C$45,2,FALSE)*1000000)</f>
        <v>0</v>
      </c>
      <c r="H64" s="2">
        <f>H20/(VLOOKUP($C64,'Main database'!$B$3:$C$45,2,FALSE)*1000000)</f>
        <v>0</v>
      </c>
      <c r="I64" s="2">
        <f>I20/(VLOOKUP($C64,'Main database'!$B$3:$C$45,2,FALSE)*1000000)</f>
        <v>0</v>
      </c>
      <c r="J64" s="2">
        <f>J20/(VLOOKUP($C64,'Main database'!$B$3:$C$45,2,FALSE)*1000000)</f>
        <v>0</v>
      </c>
      <c r="K64" s="2">
        <f>K20/(VLOOKUP($C64,'Main database'!$B$3:$C$45,2,FALSE)*1000000)</f>
        <v>0</v>
      </c>
      <c r="L64" s="2">
        <f>L20/(VLOOKUP($C64,'Main database'!$B$3:$C$45,2,FALSE)*1000000)</f>
        <v>0</v>
      </c>
      <c r="M64" s="2">
        <f>M20/(VLOOKUP($C64,'Main database'!$B$3:$C$45,2,FALSE)*1000000)</f>
        <v>0</v>
      </c>
      <c r="N64" s="2">
        <f>N20/(VLOOKUP($C64,'Main database'!$B$3:$C$45,2,FALSE)*1000000)</f>
        <v>0</v>
      </c>
      <c r="O64" s="2">
        <f>O20/(VLOOKUP($C64,'Main database'!$B$3:$C$45,2,FALSE)*1000000)</f>
        <v>0</v>
      </c>
      <c r="P64" s="2">
        <f>P20/(VLOOKUP($C64,'Main database'!$B$3:$C$45,2,FALSE)*1000000)</f>
        <v>0</v>
      </c>
      <c r="Q64" s="2">
        <f>Q20/(VLOOKUP($C64,'Main database'!$B$3:$C$45,2,FALSE)*1000000)</f>
        <v>0</v>
      </c>
      <c r="R64" s="178">
        <f>R20/(VLOOKUP($C64,'Main database'!$B$3:$C$45,2,FALSE)*1000000)</f>
        <v>0</v>
      </c>
    </row>
    <row r="65" spans="2:18" ht="15.75" thickBot="1">
      <c r="B65" s="179" t="s">
        <v>6</v>
      </c>
      <c r="C65" s="180" t="s">
        <v>40</v>
      </c>
      <c r="D65" s="180">
        <f>D21/(VLOOKUP($C65,'Main database'!$B$3:$C$45,2,FALSE)*1000000)</f>
        <v>0</v>
      </c>
      <c r="E65" s="180">
        <f>E21/(VLOOKUP($C65,'Main database'!$B$3:$C$45,2,FALSE)*1000000)</f>
        <v>0</v>
      </c>
      <c r="F65" s="180">
        <f>F21/(VLOOKUP($C65,'Main database'!$B$3:$C$45,2,FALSE)*1000000)</f>
        <v>0</v>
      </c>
      <c r="G65" s="180">
        <f>G21/(VLOOKUP($C65,'Main database'!$B$3:$C$45,2,FALSE)*1000000)</f>
        <v>0</v>
      </c>
      <c r="H65" s="180">
        <f>H21/(VLOOKUP($C65,'Main database'!$B$3:$C$45,2,FALSE)*1000000)</f>
        <v>0</v>
      </c>
      <c r="I65" s="180">
        <f>I21/(VLOOKUP($C65,'Main database'!$B$3:$C$45,2,FALSE)*1000000)</f>
        <v>0</v>
      </c>
      <c r="J65" s="180">
        <f>J21/(VLOOKUP($C65,'Main database'!$B$3:$C$45,2,FALSE)*1000000)</f>
        <v>0</v>
      </c>
      <c r="K65" s="180">
        <f>K21/(VLOOKUP($C65,'Main database'!$B$3:$C$45,2,FALSE)*1000000)</f>
        <v>0</v>
      </c>
      <c r="L65" s="180">
        <f>L21/(VLOOKUP($C65,'Main database'!$B$3:$C$45,2,FALSE)*1000000)</f>
        <v>0</v>
      </c>
      <c r="M65" s="180">
        <f>M21/(VLOOKUP($C65,'Main database'!$B$3:$C$45,2,FALSE)*1000000)</f>
        <v>0</v>
      </c>
      <c r="N65" s="180">
        <f>N21/(VLOOKUP($C65,'Main database'!$B$3:$C$45,2,FALSE)*1000000)</f>
        <v>0</v>
      </c>
      <c r="O65" s="180">
        <f>O21/(VLOOKUP($C65,'Main database'!$B$3:$C$45,2,FALSE)*1000000)</f>
        <v>0</v>
      </c>
      <c r="P65" s="180">
        <f>P21/(VLOOKUP($C65,'Main database'!$B$3:$C$45,2,FALSE)*1000000)</f>
        <v>0</v>
      </c>
      <c r="Q65" s="180">
        <f>Q21/(VLOOKUP($C65,'Main database'!$B$3:$C$45,2,FALSE)*1000000)</f>
        <v>0</v>
      </c>
      <c r="R65" s="181">
        <f>R21/(VLOOKUP($C65,'Main database'!$B$3:$C$45,2,FALSE)*1000000)</f>
        <v>0</v>
      </c>
    </row>
    <row r="66" spans="2:18">
      <c r="B66" s="174" t="s">
        <v>8</v>
      </c>
      <c r="C66" s="175" t="s">
        <v>68</v>
      </c>
      <c r="D66" s="175">
        <f>D22/(VLOOKUP($C66,'Main database'!$B$3:$C$45,2,FALSE)*1000000)</f>
        <v>0.47740056703118672</v>
      </c>
      <c r="E66" s="175">
        <f>E22/(VLOOKUP($C66,'Main database'!$B$3:$C$45,2,FALSE)*1000000)</f>
        <v>7.1509234507897937E-2</v>
      </c>
      <c r="F66" s="175">
        <f>F22/(VLOOKUP($C66,'Main database'!$B$3:$C$45,2,FALSE)*1000000)</f>
        <v>8.2927865532604297E-2</v>
      </c>
      <c r="G66" s="175">
        <f>G22/(VLOOKUP($C66,'Main database'!$B$3:$C$45,2,FALSE)*1000000)</f>
        <v>0</v>
      </c>
      <c r="H66" s="175">
        <f>H22/(VLOOKUP($C66,'Main database'!$B$3:$C$45,2,FALSE)*1000000)</f>
        <v>0</v>
      </c>
      <c r="I66" s="175">
        <f>I22/(VLOOKUP($C66,'Main database'!$B$3:$C$45,2,FALSE)*1000000)</f>
        <v>0</v>
      </c>
      <c r="J66" s="175">
        <f>J22/(VLOOKUP($C66,'Main database'!$B$3:$C$45,2,FALSE)*1000000)</f>
        <v>0</v>
      </c>
      <c r="K66" s="175">
        <f>K22/(VLOOKUP($C66,'Main database'!$B$3:$C$45,2,FALSE)*1000000)</f>
        <v>0</v>
      </c>
      <c r="L66" s="175">
        <f>L22/(VLOOKUP($C66,'Main database'!$B$3:$C$45,2,FALSE)*1000000)</f>
        <v>0</v>
      </c>
      <c r="M66" s="175">
        <f>M22/(VLOOKUP($C66,'Main database'!$B$3:$C$45,2,FALSE)*1000000)</f>
        <v>0</v>
      </c>
      <c r="N66" s="175">
        <f>N22/(VLOOKUP($C66,'Main database'!$B$3:$C$45,2,FALSE)*1000000)</f>
        <v>0</v>
      </c>
      <c r="O66" s="175">
        <f>O22/(VLOOKUP($C66,'Main database'!$B$3:$C$45,2,FALSE)*1000000)</f>
        <v>0</v>
      </c>
      <c r="P66" s="175">
        <f>P22/(VLOOKUP($C66,'Main database'!$B$3:$C$45,2,FALSE)*1000000)</f>
        <v>0</v>
      </c>
      <c r="Q66" s="175">
        <f>Q22/(VLOOKUP($C66,'Main database'!$B$3:$C$45,2,FALSE)*1000000)</f>
        <v>0</v>
      </c>
      <c r="R66" s="176">
        <f>R22/(VLOOKUP($C66,'Main database'!$B$3:$C$45,2,FALSE)*1000000)</f>
        <v>0</v>
      </c>
    </row>
    <row r="67" spans="2:18">
      <c r="B67" s="177" t="s">
        <v>8</v>
      </c>
      <c r="C67" s="2" t="s">
        <v>56</v>
      </c>
      <c r="D67" s="2">
        <f>D23/(VLOOKUP($C67,'Main database'!$B$3:$C$45,2,FALSE)*1000000)</f>
        <v>0</v>
      </c>
      <c r="E67" s="2">
        <f>E23/(VLOOKUP($C67,'Main database'!$B$3:$C$45,2,FALSE)*1000000)</f>
        <v>0</v>
      </c>
      <c r="F67" s="2">
        <f>F23/(VLOOKUP($C67,'Main database'!$B$3:$C$45,2,FALSE)*1000000)</f>
        <v>0</v>
      </c>
      <c r="G67" s="2">
        <f>G23/(VLOOKUP($C67,'Main database'!$B$3:$C$45,2,FALSE)*1000000)</f>
        <v>0</v>
      </c>
      <c r="H67" s="2">
        <f>H23/(VLOOKUP($C67,'Main database'!$B$3:$C$45,2,FALSE)*1000000)</f>
        <v>0</v>
      </c>
      <c r="I67" s="2">
        <f>I23/(VLOOKUP($C67,'Main database'!$B$3:$C$45,2,FALSE)*1000000)</f>
        <v>0</v>
      </c>
      <c r="J67" s="2">
        <f>J23/(VLOOKUP($C67,'Main database'!$B$3:$C$45,2,FALSE)*1000000)</f>
        <v>0</v>
      </c>
      <c r="K67" s="2">
        <f>K23/(VLOOKUP($C67,'Main database'!$B$3:$C$45,2,FALSE)*1000000)</f>
        <v>0</v>
      </c>
      <c r="L67" s="2">
        <f>L23/(VLOOKUP($C67,'Main database'!$B$3:$C$45,2,FALSE)*1000000)</f>
        <v>0</v>
      </c>
      <c r="M67" s="2">
        <f>M23/(VLOOKUP($C67,'Main database'!$B$3:$C$45,2,FALSE)*1000000)</f>
        <v>0</v>
      </c>
      <c r="N67" s="2">
        <f>N23/(VLOOKUP($C67,'Main database'!$B$3:$C$45,2,FALSE)*1000000)</f>
        <v>0</v>
      </c>
      <c r="O67" s="2">
        <f>O23/(VLOOKUP($C67,'Main database'!$B$3:$C$45,2,FALSE)*1000000)</f>
        <v>0</v>
      </c>
      <c r="P67" s="2">
        <f>P23/(VLOOKUP($C67,'Main database'!$B$3:$C$45,2,FALSE)*1000000)</f>
        <v>0</v>
      </c>
      <c r="Q67" s="2">
        <f>Q23/(VLOOKUP($C67,'Main database'!$B$3:$C$45,2,FALSE)*1000000)</f>
        <v>0</v>
      </c>
      <c r="R67" s="178">
        <f>R23/(VLOOKUP($C67,'Main database'!$B$3:$C$45,2,FALSE)*1000000)</f>
        <v>0</v>
      </c>
    </row>
    <row r="68" spans="2:18">
      <c r="B68" s="177" t="s">
        <v>8</v>
      </c>
      <c r="C68" s="2" t="s">
        <v>57</v>
      </c>
      <c r="D68" s="2">
        <f>D24/(VLOOKUP($C68,'Main database'!$B$3:$C$45,2,FALSE)*1000000)</f>
        <v>0</v>
      </c>
      <c r="E68" s="2">
        <f>E24/(VLOOKUP($C68,'Main database'!$B$3:$C$45,2,FALSE)*1000000)</f>
        <v>0</v>
      </c>
      <c r="F68" s="2">
        <f>F24/(VLOOKUP($C68,'Main database'!$B$3:$C$45,2,FALSE)*1000000)</f>
        <v>0</v>
      </c>
      <c r="G68" s="2">
        <f>G24/(VLOOKUP($C68,'Main database'!$B$3:$C$45,2,FALSE)*1000000)</f>
        <v>0</v>
      </c>
      <c r="H68" s="2">
        <f>H24/(VLOOKUP($C68,'Main database'!$B$3:$C$45,2,FALSE)*1000000)</f>
        <v>0</v>
      </c>
      <c r="I68" s="2">
        <f>I24/(VLOOKUP($C68,'Main database'!$B$3:$C$45,2,FALSE)*1000000)</f>
        <v>0</v>
      </c>
      <c r="J68" s="2">
        <f>J24/(VLOOKUP($C68,'Main database'!$B$3:$C$45,2,FALSE)*1000000)</f>
        <v>0</v>
      </c>
      <c r="K68" s="2">
        <f>K24/(VLOOKUP($C68,'Main database'!$B$3:$C$45,2,FALSE)*1000000)</f>
        <v>0</v>
      </c>
      <c r="L68" s="2">
        <f>L24/(VLOOKUP($C68,'Main database'!$B$3:$C$45,2,FALSE)*1000000)</f>
        <v>0</v>
      </c>
      <c r="M68" s="2">
        <f>M24/(VLOOKUP($C68,'Main database'!$B$3:$C$45,2,FALSE)*1000000)</f>
        <v>0</v>
      </c>
      <c r="N68" s="2">
        <f>N24/(VLOOKUP($C68,'Main database'!$B$3:$C$45,2,FALSE)*1000000)</f>
        <v>0</v>
      </c>
      <c r="O68" s="2">
        <f>O24/(VLOOKUP($C68,'Main database'!$B$3:$C$45,2,FALSE)*1000000)</f>
        <v>0</v>
      </c>
      <c r="P68" s="2">
        <f>P24/(VLOOKUP($C68,'Main database'!$B$3:$C$45,2,FALSE)*1000000)</f>
        <v>0</v>
      </c>
      <c r="Q68" s="2">
        <f>Q24/(VLOOKUP($C68,'Main database'!$B$3:$C$45,2,FALSE)*1000000)</f>
        <v>0</v>
      </c>
      <c r="R68" s="178">
        <f>R24/(VLOOKUP($C68,'Main database'!$B$3:$C$45,2,FALSE)*1000000)</f>
        <v>0</v>
      </c>
    </row>
    <row r="69" spans="2:18">
      <c r="B69" s="177" t="s">
        <v>8</v>
      </c>
      <c r="C69" s="2" t="s">
        <v>55</v>
      </c>
      <c r="D69" s="2">
        <f>D25/(VLOOKUP($C69,'Main database'!$B$3:$C$45,2,FALSE)*1000000)</f>
        <v>0</v>
      </c>
      <c r="E69" s="2">
        <f>E25/(VLOOKUP($C69,'Main database'!$B$3:$C$45,2,FALSE)*1000000)</f>
        <v>0</v>
      </c>
      <c r="F69" s="2">
        <f>F25/(VLOOKUP($C69,'Main database'!$B$3:$C$45,2,FALSE)*1000000)</f>
        <v>0</v>
      </c>
      <c r="G69" s="2">
        <f>G25/(VLOOKUP($C69,'Main database'!$B$3:$C$45,2,FALSE)*1000000)</f>
        <v>0</v>
      </c>
      <c r="H69" s="2">
        <f>H25/(VLOOKUP($C69,'Main database'!$B$3:$C$45,2,FALSE)*1000000)</f>
        <v>0</v>
      </c>
      <c r="I69" s="2">
        <f>I25/(VLOOKUP($C69,'Main database'!$B$3:$C$45,2,FALSE)*1000000)</f>
        <v>0</v>
      </c>
      <c r="J69" s="2">
        <f>J25/(VLOOKUP($C69,'Main database'!$B$3:$C$45,2,FALSE)*1000000)</f>
        <v>0</v>
      </c>
      <c r="K69" s="2">
        <f>K25/(VLOOKUP($C69,'Main database'!$B$3:$C$45,2,FALSE)*1000000)</f>
        <v>0</v>
      </c>
      <c r="L69" s="2">
        <f>L25/(VLOOKUP($C69,'Main database'!$B$3:$C$45,2,FALSE)*1000000)</f>
        <v>0</v>
      </c>
      <c r="M69" s="2">
        <f>M25/(VLOOKUP($C69,'Main database'!$B$3:$C$45,2,FALSE)*1000000)</f>
        <v>0</v>
      </c>
      <c r="N69" s="2">
        <f>N25/(VLOOKUP($C69,'Main database'!$B$3:$C$45,2,FALSE)*1000000)</f>
        <v>0</v>
      </c>
      <c r="O69" s="2">
        <f>O25/(VLOOKUP($C69,'Main database'!$B$3:$C$45,2,FALSE)*1000000)</f>
        <v>0</v>
      </c>
      <c r="P69" s="2">
        <f>P25/(VLOOKUP($C69,'Main database'!$B$3:$C$45,2,FALSE)*1000000)</f>
        <v>0</v>
      </c>
      <c r="Q69" s="2">
        <f>Q25/(VLOOKUP($C69,'Main database'!$B$3:$C$45,2,FALSE)*1000000)</f>
        <v>0</v>
      </c>
      <c r="R69" s="178">
        <f>R25/(VLOOKUP($C69,'Main database'!$B$3:$C$45,2,FALSE)*1000000)</f>
        <v>0</v>
      </c>
    </row>
    <row r="70" spans="2:18">
      <c r="B70" s="177" t="s">
        <v>8</v>
      </c>
      <c r="C70" s="2" t="s">
        <v>69</v>
      </c>
      <c r="D70" s="2">
        <f>D26/(VLOOKUP($C70,'Main database'!$B$3:$C$45,2,FALSE)*1000000)</f>
        <v>0.73291851741293534</v>
      </c>
      <c r="E70" s="2">
        <f>E26/(VLOOKUP($C70,'Main database'!$B$3:$C$45,2,FALSE)*1000000)</f>
        <v>3.6661900497512438E-2</v>
      </c>
      <c r="F70" s="2">
        <f>F26/(VLOOKUP($C70,'Main database'!$B$3:$C$45,2,FALSE)*1000000)</f>
        <v>4.3145293532338307E-2</v>
      </c>
      <c r="G70" s="2">
        <f>G26/(VLOOKUP($C70,'Main database'!$B$3:$C$45,2,FALSE)*1000000)</f>
        <v>0</v>
      </c>
      <c r="H70" s="2">
        <f>H26/(VLOOKUP($C70,'Main database'!$B$3:$C$45,2,FALSE)*1000000)</f>
        <v>0</v>
      </c>
      <c r="I70" s="2">
        <f>I26/(VLOOKUP($C70,'Main database'!$B$3:$C$45,2,FALSE)*1000000)</f>
        <v>0</v>
      </c>
      <c r="J70" s="2">
        <f>J26/(VLOOKUP($C70,'Main database'!$B$3:$C$45,2,FALSE)*1000000)</f>
        <v>0</v>
      </c>
      <c r="K70" s="2">
        <f>K26/(VLOOKUP($C70,'Main database'!$B$3:$C$45,2,FALSE)*1000000)</f>
        <v>0</v>
      </c>
      <c r="L70" s="2">
        <f>L26/(VLOOKUP($C70,'Main database'!$B$3:$C$45,2,FALSE)*1000000)</f>
        <v>0</v>
      </c>
      <c r="M70" s="2">
        <f>M26/(VLOOKUP($C70,'Main database'!$B$3:$C$45,2,FALSE)*1000000)</f>
        <v>0</v>
      </c>
      <c r="N70" s="2">
        <f>N26/(VLOOKUP($C70,'Main database'!$B$3:$C$45,2,FALSE)*1000000)</f>
        <v>0</v>
      </c>
      <c r="O70" s="2">
        <f>O26/(VLOOKUP($C70,'Main database'!$B$3:$C$45,2,FALSE)*1000000)</f>
        <v>0</v>
      </c>
      <c r="P70" s="2">
        <f>P26/(VLOOKUP($C70,'Main database'!$B$3:$C$45,2,FALSE)*1000000)</f>
        <v>0</v>
      </c>
      <c r="Q70" s="2">
        <f>Q26/(VLOOKUP($C70,'Main database'!$B$3:$C$45,2,FALSE)*1000000)</f>
        <v>0</v>
      </c>
      <c r="R70" s="178">
        <f>R26/(VLOOKUP($C70,'Main database'!$B$3:$C$45,2,FALSE)*1000000)</f>
        <v>0</v>
      </c>
    </row>
    <row r="71" spans="2:18" ht="15.75" thickBot="1">
      <c r="B71" s="177" t="s">
        <v>8</v>
      </c>
      <c r="C71" s="2" t="s">
        <v>163</v>
      </c>
      <c r="D71" s="2">
        <f>D27/(VLOOKUP($C71,'Main database'!$B$3:$C$45,2,FALSE)*1000000)</f>
        <v>0.45497170381020846</v>
      </c>
      <c r="E71" s="2">
        <f>E27/(VLOOKUP($C71,'Main database'!$B$3:$C$45,2,FALSE)*1000000)</f>
        <v>5.9131639108554998E-2</v>
      </c>
      <c r="F71" s="2">
        <f>F27/(VLOOKUP($C71,'Main database'!$B$3:$C$45,2,FALSE)*1000000)</f>
        <v>0.15561745506829619</v>
      </c>
      <c r="G71" s="2">
        <f>G27/(VLOOKUP($C71,'Main database'!$B$3:$C$45,2,FALSE)*1000000)</f>
        <v>0</v>
      </c>
      <c r="H71" s="2">
        <f>H27/(VLOOKUP($C71,'Main database'!$B$3:$C$45,2,FALSE)*1000000)</f>
        <v>0</v>
      </c>
      <c r="I71" s="2">
        <f>I27/(VLOOKUP($C71,'Main database'!$B$3:$C$45,2,FALSE)*1000000)</f>
        <v>0</v>
      </c>
      <c r="J71" s="2">
        <f>J27/(VLOOKUP($C71,'Main database'!$B$3:$C$45,2,FALSE)*1000000)</f>
        <v>0</v>
      </c>
      <c r="K71" s="2">
        <f>K27/(VLOOKUP($C71,'Main database'!$B$3:$C$45,2,FALSE)*1000000)</f>
        <v>0</v>
      </c>
      <c r="L71" s="2">
        <f>L27/(VLOOKUP($C71,'Main database'!$B$3:$C$45,2,FALSE)*1000000)</f>
        <v>0</v>
      </c>
      <c r="M71" s="2">
        <f>M27/(VLOOKUP($C71,'Main database'!$B$3:$C$45,2,FALSE)*1000000)</f>
        <v>0</v>
      </c>
      <c r="N71" s="2">
        <f>N27/(VLOOKUP($C71,'Main database'!$B$3:$C$45,2,FALSE)*1000000)</f>
        <v>0</v>
      </c>
      <c r="O71" s="2">
        <f>O27/(VLOOKUP($C71,'Main database'!$B$3:$C$45,2,FALSE)*1000000)</f>
        <v>0</v>
      </c>
      <c r="P71" s="2">
        <f>P27/(VLOOKUP($C71,'Main database'!$B$3:$C$45,2,FALSE)*1000000)</f>
        <v>0</v>
      </c>
      <c r="Q71" s="2">
        <f>Q27/(VLOOKUP($C71,'Main database'!$B$3:$C$45,2,FALSE)*1000000)</f>
        <v>0</v>
      </c>
      <c r="R71" s="178">
        <f>R27/(VLOOKUP($C71,'Main database'!$B$3:$C$45,2,FALSE)*1000000)</f>
        <v>0</v>
      </c>
    </row>
    <row r="72" spans="2:18">
      <c r="B72" s="174" t="s">
        <v>9</v>
      </c>
      <c r="C72" s="175" t="s">
        <v>59</v>
      </c>
      <c r="D72" s="175">
        <f>D28/(VLOOKUP($C72,'Main database'!$B$3:$C$45,2,FALSE)*1000000)</f>
        <v>0</v>
      </c>
      <c r="E72" s="175">
        <f>E28/(VLOOKUP($C72,'Main database'!$B$3:$C$45,2,FALSE)*1000000)</f>
        <v>0</v>
      </c>
      <c r="F72" s="175">
        <f>F28/(VLOOKUP($C72,'Main database'!$B$3:$C$45,2,FALSE)*1000000)</f>
        <v>0</v>
      </c>
      <c r="G72" s="175">
        <f>G28/(VLOOKUP($C72,'Main database'!$B$3:$C$45,2,FALSE)*1000000)</f>
        <v>0</v>
      </c>
      <c r="H72" s="175">
        <f>H28/(VLOOKUP($C72,'Main database'!$B$3:$C$45,2,FALSE)*1000000)</f>
        <v>0</v>
      </c>
      <c r="I72" s="175">
        <f>I28/(VLOOKUP($C72,'Main database'!$B$3:$C$45,2,FALSE)*1000000)</f>
        <v>0</v>
      </c>
      <c r="J72" s="175">
        <f>J28/(VLOOKUP($C72,'Main database'!$B$3:$C$45,2,FALSE)*1000000)</f>
        <v>0</v>
      </c>
      <c r="K72" s="175">
        <f>K28/(VLOOKUP($C72,'Main database'!$B$3:$C$45,2,FALSE)*1000000)</f>
        <v>0</v>
      </c>
      <c r="L72" s="175">
        <f>L28/(VLOOKUP($C72,'Main database'!$B$3:$C$45,2,FALSE)*1000000)</f>
        <v>0</v>
      </c>
      <c r="M72" s="175">
        <f>M28/(VLOOKUP($C72,'Main database'!$B$3:$C$45,2,FALSE)*1000000)</f>
        <v>0</v>
      </c>
      <c r="N72" s="175">
        <f>N28/(VLOOKUP($C72,'Main database'!$B$3:$C$45,2,FALSE)*1000000)</f>
        <v>0</v>
      </c>
      <c r="O72" s="175">
        <f>O28/(VLOOKUP($C72,'Main database'!$B$3:$C$45,2,FALSE)*1000000)</f>
        <v>0</v>
      </c>
      <c r="P72" s="175">
        <f>P28/(VLOOKUP($C72,'Main database'!$B$3:$C$45,2,FALSE)*1000000)</f>
        <v>0</v>
      </c>
      <c r="Q72" s="175">
        <f>Q28/(VLOOKUP($C72,'Main database'!$B$3:$C$45,2,FALSE)*1000000)</f>
        <v>0</v>
      </c>
      <c r="R72" s="176">
        <f>R28/(VLOOKUP($C72,'Main database'!$B$3:$C$45,2,FALSE)*1000000)</f>
        <v>0</v>
      </c>
    </row>
    <row r="73" spans="2:18">
      <c r="B73" s="177" t="s">
        <v>9</v>
      </c>
      <c r="C73" s="2" t="s">
        <v>45</v>
      </c>
      <c r="D73" s="2">
        <f>D29/(VLOOKUP($C73,'Main database'!$B$3:$C$45,2,FALSE)*1000000)</f>
        <v>1.2939856373429084E-3</v>
      </c>
      <c r="E73" s="2">
        <f>E29/(VLOOKUP($C73,'Main database'!$B$3:$C$45,2,FALSE)*1000000)</f>
        <v>0</v>
      </c>
      <c r="F73" s="2">
        <f>F29/(VLOOKUP($C73,'Main database'!$B$3:$C$45,2,FALSE)*1000000)</f>
        <v>0</v>
      </c>
      <c r="G73" s="2">
        <f>G29/(VLOOKUP($C73,'Main database'!$B$3:$C$45,2,FALSE)*1000000)</f>
        <v>1.3875224416517056E-3</v>
      </c>
      <c r="H73" s="2">
        <f>H29/(VLOOKUP($C73,'Main database'!$B$3:$C$45,2,FALSE)*1000000)</f>
        <v>0</v>
      </c>
      <c r="I73" s="2">
        <f>I29/(VLOOKUP($C73,'Main database'!$B$3:$C$45,2,FALSE)*1000000)</f>
        <v>0</v>
      </c>
      <c r="J73" s="2">
        <f>J29/(VLOOKUP($C73,'Main database'!$B$3:$C$45,2,FALSE)*1000000)</f>
        <v>1.6363554757630162E-3</v>
      </c>
      <c r="K73" s="2">
        <f>K29/(VLOOKUP($C73,'Main database'!$B$3:$C$45,2,FALSE)*1000000)</f>
        <v>0</v>
      </c>
      <c r="L73" s="2">
        <f>L29/(VLOOKUP($C73,'Main database'!$B$3:$C$45,2,FALSE)*1000000)</f>
        <v>2.9922202274087371E-6</v>
      </c>
      <c r="M73" s="2">
        <f>M29/(VLOOKUP($C73,'Main database'!$B$3:$C$45,2,FALSE)*1000000)</f>
        <v>5.7289048473967684E-4</v>
      </c>
      <c r="N73" s="2">
        <f>N29/(VLOOKUP($C73,'Main database'!$B$3:$C$45,2,FALSE)*1000000)</f>
        <v>0</v>
      </c>
      <c r="O73" s="2">
        <f>O29/(VLOOKUP($C73,'Main database'!$B$3:$C$45,2,FALSE)*1000000)</f>
        <v>0</v>
      </c>
      <c r="P73" s="2">
        <f>P29/(VLOOKUP($C73,'Main database'!$B$3:$C$45,2,FALSE)*1000000)</f>
        <v>0</v>
      </c>
      <c r="Q73" s="2">
        <f>Q29/(VLOOKUP($C73,'Main database'!$B$3:$C$45,2,FALSE)*1000000)</f>
        <v>3.0819868342309992E-6</v>
      </c>
      <c r="R73" s="178">
        <f>R29/(VLOOKUP($C73,'Main database'!$B$3:$C$45,2,FALSE)*1000000)</f>
        <v>1.1189108318372233E-3</v>
      </c>
    </row>
    <row r="74" spans="2:18">
      <c r="B74" s="177" t="s">
        <v>9</v>
      </c>
      <c r="C74" s="2" t="s">
        <v>58</v>
      </c>
      <c r="D74" s="2">
        <f>D30/(VLOOKUP($C74,'Main database'!$B$3:$C$45,2,FALSE)*1000000)</f>
        <v>0</v>
      </c>
      <c r="E74" s="2">
        <f>E30/(VLOOKUP($C74,'Main database'!$B$3:$C$45,2,FALSE)*1000000)</f>
        <v>0</v>
      </c>
      <c r="F74" s="2">
        <f>F30/(VLOOKUP($C74,'Main database'!$B$3:$C$45,2,FALSE)*1000000)</f>
        <v>0</v>
      </c>
      <c r="G74" s="2">
        <f>G30/(VLOOKUP($C74,'Main database'!$B$3:$C$45,2,FALSE)*1000000)</f>
        <v>0</v>
      </c>
      <c r="H74" s="2">
        <f>H30/(VLOOKUP($C74,'Main database'!$B$3:$C$45,2,FALSE)*1000000)</f>
        <v>0</v>
      </c>
      <c r="I74" s="2">
        <f>I30/(VLOOKUP($C74,'Main database'!$B$3:$C$45,2,FALSE)*1000000)</f>
        <v>0</v>
      </c>
      <c r="J74" s="2">
        <f>J30/(VLOOKUP($C74,'Main database'!$B$3:$C$45,2,FALSE)*1000000)</f>
        <v>0</v>
      </c>
      <c r="K74" s="2">
        <f>K30/(VLOOKUP($C74,'Main database'!$B$3:$C$45,2,FALSE)*1000000)</f>
        <v>0</v>
      </c>
      <c r="L74" s="2">
        <f>L30/(VLOOKUP($C74,'Main database'!$B$3:$C$45,2,FALSE)*1000000)</f>
        <v>0</v>
      </c>
      <c r="M74" s="2">
        <f>M30/(VLOOKUP($C74,'Main database'!$B$3:$C$45,2,FALSE)*1000000)</f>
        <v>0</v>
      </c>
      <c r="N74" s="2">
        <f>N30/(VLOOKUP($C74,'Main database'!$B$3:$C$45,2,FALSE)*1000000)</f>
        <v>0</v>
      </c>
      <c r="O74" s="2">
        <f>O30/(VLOOKUP($C74,'Main database'!$B$3:$C$45,2,FALSE)*1000000)</f>
        <v>0</v>
      </c>
      <c r="P74" s="2">
        <f>P30/(VLOOKUP($C74,'Main database'!$B$3:$C$45,2,FALSE)*1000000)</f>
        <v>0</v>
      </c>
      <c r="Q74" s="2">
        <f>Q30/(VLOOKUP($C74,'Main database'!$B$3:$C$45,2,FALSE)*1000000)</f>
        <v>0</v>
      </c>
      <c r="R74" s="178">
        <f>R30/(VLOOKUP($C74,'Main database'!$B$3:$C$45,2,FALSE)*1000000)</f>
        <v>0</v>
      </c>
    </row>
    <row r="75" spans="2:18">
      <c r="B75" s="177" t="s">
        <v>9</v>
      </c>
      <c r="C75" s="2" t="s">
        <v>62</v>
      </c>
      <c r="D75" s="2">
        <f>D31/(VLOOKUP($C75,'Main database'!$B$3:$C$45,2,FALSE)*1000000)</f>
        <v>0</v>
      </c>
      <c r="E75" s="2">
        <f>E31/(VLOOKUP($C75,'Main database'!$B$3:$C$45,2,FALSE)*1000000)</f>
        <v>0</v>
      </c>
      <c r="F75" s="2">
        <f>F31/(VLOOKUP($C75,'Main database'!$B$3:$C$45,2,FALSE)*1000000)</f>
        <v>0</v>
      </c>
      <c r="G75" s="2">
        <f>G31/(VLOOKUP($C75,'Main database'!$B$3:$C$45,2,FALSE)*1000000)</f>
        <v>0</v>
      </c>
      <c r="H75" s="2">
        <f>H31/(VLOOKUP($C75,'Main database'!$B$3:$C$45,2,FALSE)*1000000)</f>
        <v>0</v>
      </c>
      <c r="I75" s="2">
        <f>I31/(VLOOKUP($C75,'Main database'!$B$3:$C$45,2,FALSE)*1000000)</f>
        <v>0</v>
      </c>
      <c r="J75" s="2">
        <f>J31/(VLOOKUP($C75,'Main database'!$B$3:$C$45,2,FALSE)*1000000)</f>
        <v>0</v>
      </c>
      <c r="K75" s="2">
        <f>K31/(VLOOKUP($C75,'Main database'!$B$3:$C$45,2,FALSE)*1000000)</f>
        <v>0</v>
      </c>
      <c r="L75" s="2">
        <f>L31/(VLOOKUP($C75,'Main database'!$B$3:$C$45,2,FALSE)*1000000)</f>
        <v>0</v>
      </c>
      <c r="M75" s="2">
        <f>M31/(VLOOKUP($C75,'Main database'!$B$3:$C$45,2,FALSE)*1000000)</f>
        <v>0</v>
      </c>
      <c r="N75" s="2">
        <f>N31/(VLOOKUP($C75,'Main database'!$B$3:$C$45,2,FALSE)*1000000)</f>
        <v>0</v>
      </c>
      <c r="O75" s="2">
        <f>O31/(VLOOKUP($C75,'Main database'!$B$3:$C$45,2,FALSE)*1000000)</f>
        <v>0</v>
      </c>
      <c r="P75" s="2">
        <f>P31/(VLOOKUP($C75,'Main database'!$B$3:$C$45,2,FALSE)*1000000)</f>
        <v>0</v>
      </c>
      <c r="Q75" s="2">
        <f>Q31/(VLOOKUP($C75,'Main database'!$B$3:$C$45,2,FALSE)*1000000)</f>
        <v>0</v>
      </c>
      <c r="R75" s="178">
        <f>R31/(VLOOKUP($C75,'Main database'!$B$3:$C$45,2,FALSE)*1000000)</f>
        <v>0</v>
      </c>
    </row>
    <row r="76" spans="2:18">
      <c r="B76" s="177" t="s">
        <v>9</v>
      </c>
      <c r="C76" s="2" t="s">
        <v>61</v>
      </c>
      <c r="D76" s="2">
        <f>D32/(VLOOKUP($C76,'Main database'!$B$3:$C$45,2,FALSE)*1000000)</f>
        <v>0</v>
      </c>
      <c r="E76" s="2">
        <f>E32/(VLOOKUP($C76,'Main database'!$B$3:$C$45,2,FALSE)*1000000)</f>
        <v>0</v>
      </c>
      <c r="F76" s="2">
        <f>F32/(VLOOKUP($C76,'Main database'!$B$3:$C$45,2,FALSE)*1000000)</f>
        <v>0</v>
      </c>
      <c r="G76" s="2">
        <f>G32/(VLOOKUP($C76,'Main database'!$B$3:$C$45,2,FALSE)*1000000)</f>
        <v>0</v>
      </c>
      <c r="H76" s="2">
        <f>H32/(VLOOKUP($C76,'Main database'!$B$3:$C$45,2,FALSE)*1000000)</f>
        <v>0</v>
      </c>
      <c r="I76" s="2">
        <f>I32/(VLOOKUP($C76,'Main database'!$B$3:$C$45,2,FALSE)*1000000)</f>
        <v>0</v>
      </c>
      <c r="J76" s="2">
        <f>J32/(VLOOKUP($C76,'Main database'!$B$3:$C$45,2,FALSE)*1000000)</f>
        <v>0</v>
      </c>
      <c r="K76" s="2">
        <f>K32/(VLOOKUP($C76,'Main database'!$B$3:$C$45,2,FALSE)*1000000)</f>
        <v>0</v>
      </c>
      <c r="L76" s="2">
        <f>L32/(VLOOKUP($C76,'Main database'!$B$3:$C$45,2,FALSE)*1000000)</f>
        <v>0</v>
      </c>
      <c r="M76" s="2">
        <f>M32/(VLOOKUP($C76,'Main database'!$B$3:$C$45,2,FALSE)*1000000)</f>
        <v>0</v>
      </c>
      <c r="N76" s="2">
        <f>N32/(VLOOKUP($C76,'Main database'!$B$3:$C$45,2,FALSE)*1000000)</f>
        <v>0</v>
      </c>
      <c r="O76" s="2">
        <f>O32/(VLOOKUP($C76,'Main database'!$B$3:$C$45,2,FALSE)*1000000)</f>
        <v>0</v>
      </c>
      <c r="P76" s="2">
        <f>P32/(VLOOKUP($C76,'Main database'!$B$3:$C$45,2,FALSE)*1000000)</f>
        <v>0</v>
      </c>
      <c r="Q76" s="2">
        <f>Q32/(VLOOKUP($C76,'Main database'!$B$3:$C$45,2,FALSE)*1000000)</f>
        <v>0</v>
      </c>
      <c r="R76" s="178">
        <f>R32/(VLOOKUP($C76,'Main database'!$B$3:$C$45,2,FALSE)*1000000)</f>
        <v>0</v>
      </c>
    </row>
    <row r="77" spans="2:18">
      <c r="B77" s="177" t="s">
        <v>9</v>
      </c>
      <c r="C77" s="2" t="s">
        <v>60</v>
      </c>
      <c r="D77" s="2">
        <f>D33/(VLOOKUP($C77,'Main database'!$B$3:$C$45,2,FALSE)*1000000)</f>
        <v>0</v>
      </c>
      <c r="E77" s="2">
        <f>E33/(VLOOKUP($C77,'Main database'!$B$3:$C$45,2,FALSE)*1000000)</f>
        <v>0</v>
      </c>
      <c r="F77" s="2">
        <f>F33/(VLOOKUP($C77,'Main database'!$B$3:$C$45,2,FALSE)*1000000)</f>
        <v>0</v>
      </c>
      <c r="G77" s="2">
        <f>G33/(VLOOKUP($C77,'Main database'!$B$3:$C$45,2,FALSE)*1000000)</f>
        <v>0</v>
      </c>
      <c r="H77" s="2">
        <f>H33/(VLOOKUP($C77,'Main database'!$B$3:$C$45,2,FALSE)*1000000)</f>
        <v>0</v>
      </c>
      <c r="I77" s="2">
        <f>I33/(VLOOKUP($C77,'Main database'!$B$3:$C$45,2,FALSE)*1000000)</f>
        <v>0</v>
      </c>
      <c r="J77" s="2">
        <f>J33/(VLOOKUP($C77,'Main database'!$B$3:$C$45,2,FALSE)*1000000)</f>
        <v>0</v>
      </c>
      <c r="K77" s="2">
        <f>K33/(VLOOKUP($C77,'Main database'!$B$3:$C$45,2,FALSE)*1000000)</f>
        <v>0</v>
      </c>
      <c r="L77" s="2">
        <f>L33/(VLOOKUP($C77,'Main database'!$B$3:$C$45,2,FALSE)*1000000)</f>
        <v>0</v>
      </c>
      <c r="M77" s="2">
        <f>M33/(VLOOKUP($C77,'Main database'!$B$3:$C$45,2,FALSE)*1000000)</f>
        <v>0</v>
      </c>
      <c r="N77" s="2">
        <f>N33/(VLOOKUP($C77,'Main database'!$B$3:$C$45,2,FALSE)*1000000)</f>
        <v>0</v>
      </c>
      <c r="O77" s="2">
        <f>O33/(VLOOKUP($C77,'Main database'!$B$3:$C$45,2,FALSE)*1000000)</f>
        <v>0</v>
      </c>
      <c r="P77" s="2">
        <f>P33/(VLOOKUP($C77,'Main database'!$B$3:$C$45,2,FALSE)*1000000)</f>
        <v>0</v>
      </c>
      <c r="Q77" s="2">
        <f>Q33/(VLOOKUP($C77,'Main database'!$B$3:$C$45,2,FALSE)*1000000)</f>
        <v>0</v>
      </c>
      <c r="R77" s="178">
        <f>R33/(VLOOKUP($C77,'Main database'!$B$3:$C$45,2,FALSE)*1000000)</f>
        <v>0</v>
      </c>
    </row>
    <row r="78" spans="2:18" ht="15.75" thickBot="1">
      <c r="B78" s="179" t="s">
        <v>9</v>
      </c>
      <c r="C78" s="180" t="s">
        <v>63</v>
      </c>
      <c r="D78" s="180">
        <f>D34/(VLOOKUP($C78,'Main database'!$B$3:$C$45,2,FALSE)*1000000)</f>
        <v>0</v>
      </c>
      <c r="E78" s="180">
        <f>E34/(VLOOKUP($C78,'Main database'!$B$3:$C$45,2,FALSE)*1000000)</f>
        <v>0</v>
      </c>
      <c r="F78" s="180">
        <f>F34/(VLOOKUP($C78,'Main database'!$B$3:$C$45,2,FALSE)*1000000)</f>
        <v>0</v>
      </c>
      <c r="G78" s="180">
        <f>G34/(VLOOKUP($C78,'Main database'!$B$3:$C$45,2,FALSE)*1000000)</f>
        <v>0</v>
      </c>
      <c r="H78" s="180">
        <f>H34/(VLOOKUP($C78,'Main database'!$B$3:$C$45,2,FALSE)*1000000)</f>
        <v>0</v>
      </c>
      <c r="I78" s="180">
        <f>I34/(VLOOKUP($C78,'Main database'!$B$3:$C$45,2,FALSE)*1000000)</f>
        <v>0</v>
      </c>
      <c r="J78" s="180">
        <f>J34/(VLOOKUP($C78,'Main database'!$B$3:$C$45,2,FALSE)*1000000)</f>
        <v>0</v>
      </c>
      <c r="K78" s="180">
        <f>K34/(VLOOKUP($C78,'Main database'!$B$3:$C$45,2,FALSE)*1000000)</f>
        <v>0</v>
      </c>
      <c r="L78" s="180">
        <f>L34/(VLOOKUP($C78,'Main database'!$B$3:$C$45,2,FALSE)*1000000)</f>
        <v>0</v>
      </c>
      <c r="M78" s="180">
        <f>M34/(VLOOKUP($C78,'Main database'!$B$3:$C$45,2,FALSE)*1000000)</f>
        <v>0</v>
      </c>
      <c r="N78" s="180">
        <f>N34/(VLOOKUP($C78,'Main database'!$B$3:$C$45,2,FALSE)*1000000)</f>
        <v>0</v>
      </c>
      <c r="O78" s="180">
        <f>O34/(VLOOKUP($C78,'Main database'!$B$3:$C$45,2,FALSE)*1000000)</f>
        <v>0</v>
      </c>
      <c r="P78" s="180">
        <f>P34/(VLOOKUP($C78,'Main database'!$B$3:$C$45,2,FALSE)*1000000)</f>
        <v>0</v>
      </c>
      <c r="Q78" s="180">
        <f>Q34/(VLOOKUP($C78,'Main database'!$B$3:$C$45,2,FALSE)*1000000)</f>
        <v>0</v>
      </c>
      <c r="R78" s="181">
        <f>R34/(VLOOKUP($C78,'Main database'!$B$3:$C$45,2,FALSE)*1000000)</f>
        <v>0</v>
      </c>
    </row>
    <row r="79" spans="2:18">
      <c r="B79" s="174" t="s">
        <v>3</v>
      </c>
      <c r="C79" s="175" t="s">
        <v>48</v>
      </c>
      <c r="D79" s="175">
        <f>D35/(VLOOKUP($C79,'Main database'!$B$3:$C$45,2,FALSE)*1000000)</f>
        <v>0.44053052005613003</v>
      </c>
      <c r="E79" s="175">
        <f>E35/(VLOOKUP($C79,'Main database'!$B$3:$C$45,2,FALSE)*1000000)</f>
        <v>3.3851142856720826E-3</v>
      </c>
      <c r="F79" s="175">
        <f>F35/(VLOOKUP($C79,'Main database'!$B$3:$C$45,2,FALSE)*1000000)</f>
        <v>1.1911166440177252E-4</v>
      </c>
      <c r="G79" s="175">
        <f>G35/(VLOOKUP($C79,'Main database'!$B$3:$C$45,2,FALSE)*1000000)</f>
        <v>1.0480498883308714E-3</v>
      </c>
      <c r="H79" s="175">
        <f>H35/(VLOOKUP($C79,'Main database'!$B$3:$C$45,2,FALSE)*1000000)</f>
        <v>1.7178452850812406E-4</v>
      </c>
      <c r="I79" s="175">
        <f>I35/(VLOOKUP($C79,'Main database'!$B$3:$C$45,2,FALSE)*1000000)</f>
        <v>0</v>
      </c>
      <c r="J79" s="175">
        <f>J35/(VLOOKUP($C79,'Main database'!$B$3:$C$45,2,FALSE)*1000000)</f>
        <v>2.0343120964194977E-2</v>
      </c>
      <c r="K79" s="175">
        <f>K35/(VLOOKUP($C79,'Main database'!$B$3:$C$45,2,FALSE)*1000000)</f>
        <v>0</v>
      </c>
      <c r="L79" s="175">
        <f>L35/(VLOOKUP($C79,'Main database'!$B$3:$C$45,2,FALSE)*1000000)</f>
        <v>0</v>
      </c>
      <c r="M79" s="175">
        <f>M35/(VLOOKUP($C79,'Main database'!$B$3:$C$45,2,FALSE)*1000000)</f>
        <v>2.8795082906942393E-3</v>
      </c>
      <c r="N79" s="175">
        <f>N35/(VLOOKUP($C79,'Main database'!$B$3:$C$45,2,FALSE)*1000000)</f>
        <v>7.5440371906056126E-4</v>
      </c>
      <c r="O79" s="175">
        <f>O35/(VLOOKUP($C79,'Main database'!$B$3:$C$45,2,FALSE)*1000000)</f>
        <v>4.8008159837518462E-4</v>
      </c>
      <c r="P79" s="175">
        <f>P35/(VLOOKUP($C79,'Main database'!$B$3:$C$45,2,FALSE)*1000000)</f>
        <v>1.8674118906942396E-5</v>
      </c>
      <c r="Q79" s="175">
        <f>Q35/(VLOOKUP($C79,'Main database'!$B$3:$C$45,2,FALSE)*1000000)</f>
        <v>0</v>
      </c>
      <c r="R79" s="176">
        <f>R35/(VLOOKUP($C79,'Main database'!$B$3:$C$45,2,FALSE)*1000000)</f>
        <v>1.1077251787296898E-4</v>
      </c>
    </row>
    <row r="80" spans="2:18">
      <c r="B80" s="177" t="s">
        <v>3</v>
      </c>
      <c r="C80" s="2" t="s">
        <v>41</v>
      </c>
      <c r="D80" s="2">
        <f>D36/(VLOOKUP($C80,'Main database'!$B$3:$C$45,2,FALSE)*1000000)</f>
        <v>0.2816004489349192</v>
      </c>
      <c r="E80" s="2">
        <f>E36/(VLOOKUP($C80,'Main database'!$B$3:$C$45,2,FALSE)*1000000)</f>
        <v>6.622078920466787E-3</v>
      </c>
      <c r="F80" s="2">
        <f>F36/(VLOOKUP($C80,'Main database'!$B$3:$C$45,2,FALSE)*1000000)</f>
        <v>0</v>
      </c>
      <c r="G80" s="2">
        <f>G36/(VLOOKUP($C80,'Main database'!$B$3:$C$45,2,FALSE)*1000000)</f>
        <v>2.4283169165170556E-3</v>
      </c>
      <c r="H80" s="2">
        <f>H36/(VLOOKUP($C80,'Main database'!$B$3:$C$45,2,FALSE)*1000000)</f>
        <v>0</v>
      </c>
      <c r="I80" s="2">
        <f>I36/(VLOOKUP($C80,'Main database'!$B$3:$C$45,2,FALSE)*1000000)</f>
        <v>0</v>
      </c>
      <c r="J80" s="2">
        <f>J36/(VLOOKUP($C80,'Main database'!$B$3:$C$45,2,FALSE)*1000000)</f>
        <v>4.4712710271813283E-2</v>
      </c>
      <c r="K80" s="2">
        <f>K36/(VLOOKUP($C80,'Main database'!$B$3:$C$45,2,FALSE)*1000000)</f>
        <v>0</v>
      </c>
      <c r="L80" s="2">
        <f>L36/(VLOOKUP($C80,'Main database'!$B$3:$C$45,2,FALSE)*1000000)</f>
        <v>0</v>
      </c>
      <c r="M80" s="2">
        <f>M36/(VLOOKUP($C80,'Main database'!$B$3:$C$45,2,FALSE)*1000000)</f>
        <v>1.0616459539138241E-2</v>
      </c>
      <c r="N80" s="2">
        <f>N36/(VLOOKUP($C80,'Main database'!$B$3:$C$45,2,FALSE)*1000000)</f>
        <v>1.9721176320466787E-3</v>
      </c>
      <c r="O80" s="2">
        <f>O36/(VLOOKUP($C80,'Main database'!$B$3:$C$45,2,FALSE)*1000000)</f>
        <v>1.6067325314183124E-3</v>
      </c>
      <c r="P80" s="2">
        <f>P36/(VLOOKUP($C80,'Main database'!$B$3:$C$45,2,FALSE)*1000000)</f>
        <v>3.2306972396768403E-4</v>
      </c>
      <c r="Q80" s="2">
        <f>Q36/(VLOOKUP($C80,'Main database'!$B$3:$C$45,2,FALSE)*1000000)</f>
        <v>0</v>
      </c>
      <c r="R80" s="178">
        <f>R36/(VLOOKUP($C80,'Main database'!$B$3:$C$45,2,FALSE)*1000000)</f>
        <v>4.7195267217235186E-3</v>
      </c>
    </row>
    <row r="81" spans="2:20">
      <c r="B81" s="177" t="s">
        <v>3</v>
      </c>
      <c r="C81" s="2" t="s">
        <v>47</v>
      </c>
      <c r="D81" s="2">
        <f>D37/(VLOOKUP($C81,'Main database'!$B$3:$C$45,2,FALSE)*1000000)</f>
        <v>0.13933486238532111</v>
      </c>
      <c r="E81" s="2">
        <f>E37/(VLOOKUP($C81,'Main database'!$B$3:$C$45,2,FALSE)*1000000)</f>
        <v>2.1788990825688075E-2</v>
      </c>
      <c r="F81" s="2">
        <f>F37/(VLOOKUP($C81,'Main database'!$B$3:$C$45,2,FALSE)*1000000)</f>
        <v>0</v>
      </c>
      <c r="G81" s="2">
        <f>G37/(VLOOKUP($C81,'Main database'!$B$3:$C$45,2,FALSE)*1000000)</f>
        <v>6.3073394495412848E-3</v>
      </c>
      <c r="H81" s="2">
        <f>H37/(VLOOKUP($C81,'Main database'!$B$3:$C$45,2,FALSE)*1000000)</f>
        <v>0</v>
      </c>
      <c r="I81" s="2">
        <f>I37/(VLOOKUP($C81,'Main database'!$B$3:$C$45,2,FALSE)*1000000)</f>
        <v>5.2178899082568807E-2</v>
      </c>
      <c r="J81" s="2">
        <f>J37/(VLOOKUP($C81,'Main database'!$B$3:$C$45,2,FALSE)*1000000)</f>
        <v>0</v>
      </c>
      <c r="K81" s="2">
        <f>K37/(VLOOKUP($C81,'Main database'!$B$3:$C$45,2,FALSE)*1000000)</f>
        <v>0</v>
      </c>
      <c r="L81" s="2">
        <f>L37/(VLOOKUP($C81,'Main database'!$B$3:$C$45,2,FALSE)*1000000)</f>
        <v>0</v>
      </c>
      <c r="M81" s="2">
        <f>M37/(VLOOKUP($C81,'Main database'!$B$3:$C$45,2,FALSE)*1000000)</f>
        <v>1.1467889908256881E-2</v>
      </c>
      <c r="N81" s="2">
        <f>N37/(VLOOKUP($C81,'Main database'!$B$3:$C$45,2,FALSE)*1000000)</f>
        <v>9.1743119266055051E-3</v>
      </c>
      <c r="O81" s="2">
        <f>O37/(VLOOKUP($C81,'Main database'!$B$3:$C$45,2,FALSE)*1000000)</f>
        <v>1.7201834862385322E-3</v>
      </c>
      <c r="P81" s="2">
        <f>P37/(VLOOKUP($C81,'Main database'!$B$3:$C$45,2,FALSE)*1000000)</f>
        <v>0</v>
      </c>
      <c r="Q81" s="2">
        <f>Q37/(VLOOKUP($C81,'Main database'!$B$3:$C$45,2,FALSE)*1000000)</f>
        <v>0</v>
      </c>
      <c r="R81" s="178">
        <f>R37/(VLOOKUP($C81,'Main database'!$B$3:$C$45,2,FALSE)*1000000)</f>
        <v>2.8669724770642203E-3</v>
      </c>
    </row>
    <row r="82" spans="2:20">
      <c r="B82" s="177" t="s">
        <v>3</v>
      </c>
      <c r="C82" s="2" t="s">
        <v>50</v>
      </c>
      <c r="D82" s="2">
        <f>D38/(VLOOKUP($C82,'Main database'!$B$3:$C$45,2,FALSE)*1000000)</f>
        <v>0.11692589204025618</v>
      </c>
      <c r="E82" s="2">
        <f>E38/(VLOOKUP($C82,'Main database'!$B$3:$C$45,2,FALSE)*1000000)</f>
        <v>2.2506861848124428E-2</v>
      </c>
      <c r="F82" s="2">
        <f>F38/(VLOOKUP($C82,'Main database'!$B$3:$C$45,2,FALSE)*1000000)</f>
        <v>7.319304666056725E-4</v>
      </c>
      <c r="G82" s="2">
        <f>G38/(VLOOKUP($C82,'Main database'!$B$3:$C$45,2,FALSE)*1000000)</f>
        <v>1.8389752973467521E-2</v>
      </c>
      <c r="H82" s="2">
        <f>H38/(VLOOKUP($C82,'Main database'!$B$3:$C$45,2,FALSE)*1000000)</f>
        <v>0</v>
      </c>
      <c r="I82" s="2">
        <f>I38/(VLOOKUP($C82,'Main database'!$B$3:$C$45,2,FALSE)*1000000)</f>
        <v>8.3623055809698074E-2</v>
      </c>
      <c r="J82" s="2">
        <f>J38/(VLOOKUP($C82,'Main database'!$B$3:$C$45,2,FALSE)*1000000)</f>
        <v>0</v>
      </c>
      <c r="K82" s="2">
        <f>K38/(VLOOKUP($C82,'Main database'!$B$3:$C$45,2,FALSE)*1000000)</f>
        <v>9.1491308325709062E-5</v>
      </c>
      <c r="L82" s="2">
        <f>L38/(VLOOKUP($C82,'Main database'!$B$3:$C$45,2,FALSE)*1000000)</f>
        <v>0</v>
      </c>
      <c r="M82" s="2">
        <f>M38/(VLOOKUP($C82,'Main database'!$B$3:$C$45,2,FALSE)*1000000)</f>
        <v>1.5279048490393413E-2</v>
      </c>
      <c r="N82" s="2">
        <f>N38/(VLOOKUP($C82,'Main database'!$B$3:$C$45,2,FALSE)*1000000)</f>
        <v>5.9469350411710887E-3</v>
      </c>
      <c r="O82" s="2">
        <f>O38/(VLOOKUP($C82,'Main database'!$B$3:$C$45,2,FALSE)*1000000)</f>
        <v>3.0192131747483991E-3</v>
      </c>
      <c r="P82" s="2">
        <f>P38/(VLOOKUP($C82,'Main database'!$B$3:$C$45,2,FALSE)*1000000)</f>
        <v>4.5745654162854531E-4</v>
      </c>
      <c r="Q82" s="2">
        <f>Q38/(VLOOKUP($C82,'Main database'!$B$3:$C$45,2,FALSE)*1000000)</f>
        <v>0</v>
      </c>
      <c r="R82" s="178">
        <f>R38/(VLOOKUP($C82,'Main database'!$B$3:$C$45,2,FALSE)*1000000)</f>
        <v>2.8362305580969809E-3</v>
      </c>
    </row>
    <row r="83" spans="2:20">
      <c r="B83" s="177" t="s">
        <v>3</v>
      </c>
      <c r="C83" s="2" t="s">
        <v>43</v>
      </c>
      <c r="D83" s="2">
        <f>D39/(VLOOKUP($C83,'Main database'!$B$3:$C$45,2,FALSE)*1000000)</f>
        <v>0.39322290842477875</v>
      </c>
      <c r="E83" s="2">
        <f>E39/(VLOOKUP($C83,'Main database'!$B$3:$C$45,2,FALSE)*1000000)</f>
        <v>1.1513811125368732E-2</v>
      </c>
      <c r="F83" s="2">
        <f>F39/(VLOOKUP($C83,'Main database'!$B$3:$C$45,2,FALSE)*1000000)</f>
        <v>0</v>
      </c>
      <c r="G83" s="2">
        <f>G39/(VLOOKUP($C83,'Main database'!$B$3:$C$45,2,FALSE)*1000000)</f>
        <v>4.3763733530678469E-3</v>
      </c>
      <c r="H83" s="2">
        <f>H39/(VLOOKUP($C83,'Main database'!$B$3:$C$45,2,FALSE)*1000000)</f>
        <v>0</v>
      </c>
      <c r="I83" s="2">
        <f>I39/(VLOOKUP($C83,'Main database'!$B$3:$C$45,2,FALSE)*1000000)</f>
        <v>0</v>
      </c>
      <c r="J83" s="2">
        <f>J39/(VLOOKUP($C83,'Main database'!$B$3:$C$45,2,FALSE)*1000000)</f>
        <v>6.5737076354277293E-2</v>
      </c>
      <c r="K83" s="2">
        <f>K39/(VLOOKUP($C83,'Main database'!$B$3:$C$45,2,FALSE)*1000000)</f>
        <v>0</v>
      </c>
      <c r="L83" s="2">
        <f>L39/(VLOOKUP($C83,'Main database'!$B$3:$C$45,2,FALSE)*1000000)</f>
        <v>0</v>
      </c>
      <c r="M83" s="2">
        <f>M39/(VLOOKUP($C83,'Main database'!$B$3:$C$45,2,FALSE)*1000000)</f>
        <v>5.207424433923304E-3</v>
      </c>
      <c r="N83" s="2">
        <f>N39/(VLOOKUP($C83,'Main database'!$B$3:$C$45,2,FALSE)*1000000)</f>
        <v>5.0830188026548676E-4</v>
      </c>
      <c r="O83" s="2">
        <f>O39/(VLOOKUP($C83,'Main database'!$B$3:$C$45,2,FALSE)*1000000)</f>
        <v>1.2565624380530974E-3</v>
      </c>
      <c r="P83" s="2">
        <f>P39/(VLOOKUP($C83,'Main database'!$B$3:$C$45,2,FALSE)*1000000)</f>
        <v>1.0007790101474927E-3</v>
      </c>
      <c r="Q83" s="2">
        <f>Q39/(VLOOKUP($C83,'Main database'!$B$3:$C$45,2,FALSE)*1000000)</f>
        <v>0</v>
      </c>
      <c r="R83" s="178">
        <f>R39/(VLOOKUP($C83,'Main database'!$B$3:$C$45,2,FALSE)*1000000)</f>
        <v>1.2956932920353981E-3</v>
      </c>
    </row>
    <row r="84" spans="2:20">
      <c r="B84" s="177" t="s">
        <v>3</v>
      </c>
      <c r="C84" s="2" t="s">
        <v>31</v>
      </c>
      <c r="D84" s="2">
        <f>D40/(VLOOKUP($C84,'Main database'!$B$3:$C$45,2,FALSE)*1000000)</f>
        <v>0.38057393176089366</v>
      </c>
      <c r="E84" s="2">
        <f>E40/(VLOOKUP($C84,'Main database'!$B$3:$C$45,2,FALSE)*1000000)</f>
        <v>4.1669436151615929E-3</v>
      </c>
      <c r="F84" s="2">
        <f>F40/(VLOOKUP($C84,'Main database'!$B$3:$C$45,2,FALSE)*1000000)</f>
        <v>0</v>
      </c>
      <c r="G84" s="2">
        <f>G40/(VLOOKUP($C84,'Main database'!$B$3:$C$45,2,FALSE)*1000000)</f>
        <v>7.9420212062761145E-4</v>
      </c>
      <c r="H84" s="2">
        <f>H40/(VLOOKUP($C84,'Main database'!$B$3:$C$45,2,FALSE)*1000000)</f>
        <v>4.0814939711776241E-4</v>
      </c>
      <c r="I84" s="2">
        <f>I40/(VLOOKUP($C84,'Main database'!$B$3:$C$45,2,FALSE)*1000000)</f>
        <v>0</v>
      </c>
      <c r="J84" s="2">
        <f>J40/(VLOOKUP($C84,'Main database'!$B$3:$C$45,2,FALSE)*1000000)</f>
        <v>2.3970295671441971E-2</v>
      </c>
      <c r="K84" s="2">
        <f>K40/(VLOOKUP($C84,'Main database'!$B$3:$C$45,2,FALSE)*1000000)</f>
        <v>1.9566107060629319E-4</v>
      </c>
      <c r="L84" s="2">
        <f>L40/(VLOOKUP($C84,'Main database'!$B$3:$C$45,2,FALSE)*1000000)</f>
        <v>0</v>
      </c>
      <c r="M84" s="2">
        <f>M40/(VLOOKUP($C84,'Main database'!$B$3:$C$45,2,FALSE)*1000000)</f>
        <v>3.3071993719024475E-3</v>
      </c>
      <c r="N84" s="2">
        <f>N40/(VLOOKUP($C84,'Main database'!$B$3:$C$45,2,FALSE)*1000000)</f>
        <v>1.1833075285153918E-3</v>
      </c>
      <c r="O84" s="2">
        <f>O40/(VLOOKUP($C84,'Main database'!$B$3:$C$45,2,FALSE)*1000000)</f>
        <v>3.2551055342372307E-4</v>
      </c>
      <c r="P84" s="2">
        <f>P40/(VLOOKUP($C84,'Main database'!$B$3:$C$45,2,FALSE)*1000000)</f>
        <v>8.0632902703163643E-6</v>
      </c>
      <c r="Q84" s="2">
        <f>Q40/(VLOOKUP($C84,'Main database'!$B$3:$C$45,2,FALSE)*1000000)</f>
        <v>0</v>
      </c>
      <c r="R84" s="178">
        <f>R40/(VLOOKUP($C84,'Main database'!$B$3:$C$45,2,FALSE)*1000000)</f>
        <v>8.8844432847275437E-4</v>
      </c>
    </row>
    <row r="85" spans="2:20">
      <c r="B85" s="177" t="s">
        <v>3</v>
      </c>
      <c r="C85" s="2" t="s">
        <v>49</v>
      </c>
      <c r="D85" s="2">
        <f>D41/(VLOOKUP($C85,'Main database'!$B$3:$C$45,2,FALSE)*1000000)</f>
        <v>0.60283885332591147</v>
      </c>
      <c r="E85" s="2">
        <f>E41/(VLOOKUP($C85,'Main database'!$B$3:$C$45,2,FALSE)*1000000)</f>
        <v>9.8803228499860837E-3</v>
      </c>
      <c r="F85" s="2">
        <f>F41/(VLOOKUP($C85,'Main database'!$B$3:$C$45,2,FALSE)*1000000)</f>
        <v>1.6699137211244085E-3</v>
      </c>
      <c r="G85" s="2">
        <f>G41/(VLOOKUP($C85,'Main database'!$B$3:$C$45,2,FALSE)*1000000)</f>
        <v>2.0873921514055105E-3</v>
      </c>
      <c r="H85" s="2">
        <f>H41/(VLOOKUP($C85,'Main database'!$B$3:$C$45,2,FALSE)*1000000)</f>
        <v>3.0615084887280824E-3</v>
      </c>
      <c r="I85" s="2">
        <f>I41/(VLOOKUP($C85,'Main database'!$B$3:$C$45,2,FALSE)*1000000)</f>
        <v>1.8229891455608126E-2</v>
      </c>
      <c r="J85" s="2">
        <f>J41/(VLOOKUP($C85,'Main database'!$B$3:$C$45,2,FALSE)*1000000)</f>
        <v>0</v>
      </c>
      <c r="K85" s="2">
        <f>K41/(VLOOKUP($C85,'Main database'!$B$3:$C$45,2,FALSE)*1000000)</f>
        <v>1.3915947676036738E-4</v>
      </c>
      <c r="L85" s="2">
        <f>L41/(VLOOKUP($C85,'Main database'!$B$3:$C$45,2,FALSE)*1000000)</f>
        <v>0</v>
      </c>
      <c r="M85" s="2">
        <f>M41/(VLOOKUP($C85,'Main database'!$B$3:$C$45,2,FALSE)*1000000)</f>
        <v>5.9838575006957977E-3</v>
      </c>
      <c r="N85" s="2">
        <f>N41/(VLOOKUP($C85,'Main database'!$B$3:$C$45,2,FALSE)*1000000)</f>
        <v>2.6440300584469802E-3</v>
      </c>
      <c r="O85" s="2">
        <f>O41/(VLOOKUP($C85,'Main database'!$B$3:$C$45,2,FALSE)*1000000)</f>
        <v>5.5663790704146951E-4</v>
      </c>
      <c r="P85" s="2">
        <f>P41/(VLOOKUP($C85,'Main database'!$B$3:$C$45,2,FALSE)*1000000)</f>
        <v>5.5663790704146952E-5</v>
      </c>
      <c r="Q85" s="2">
        <f>Q41/(VLOOKUP($C85,'Main database'!$B$3:$C$45,2,FALSE)*1000000)</f>
        <v>0</v>
      </c>
      <c r="R85" s="178">
        <f>R41/(VLOOKUP($C85,'Main database'!$B$3:$C$45,2,FALSE)*1000000)</f>
        <v>6.9579738380183694E-4</v>
      </c>
    </row>
    <row r="86" spans="2:20">
      <c r="B86" s="177" t="s">
        <v>3</v>
      </c>
      <c r="C86" s="2" t="s">
        <v>42</v>
      </c>
      <c r="D86" s="2">
        <f>D42/(VLOOKUP($C86,'Main database'!$B$3:$C$45,2,FALSE)*1000000)</f>
        <v>0.23679566240243902</v>
      </c>
      <c r="E86" s="2">
        <f>E42/(VLOOKUP($C86,'Main database'!$B$3:$C$45,2,FALSE)*1000000)</f>
        <v>6.3830847412311266E-3</v>
      </c>
      <c r="F86" s="2">
        <f>F42/(VLOOKUP($C86,'Main database'!$B$3:$C$45,2,FALSE)*1000000)</f>
        <v>0</v>
      </c>
      <c r="G86" s="2">
        <f>G42/(VLOOKUP($C86,'Main database'!$B$3:$C$45,2,FALSE)*1000000)</f>
        <v>6.1352753252032514E-3</v>
      </c>
      <c r="H86" s="2">
        <f>H42/(VLOOKUP($C86,'Main database'!$B$3:$C$45,2,FALSE)*1000000)</f>
        <v>0</v>
      </c>
      <c r="I86" s="2">
        <f>I42/(VLOOKUP($C86,'Main database'!$B$3:$C$45,2,FALSE)*1000000)</f>
        <v>0</v>
      </c>
      <c r="J86" s="2">
        <f>J42/(VLOOKUP($C86,'Main database'!$B$3:$C$45,2,FALSE)*1000000)</f>
        <v>0.12037982369279907</v>
      </c>
      <c r="K86" s="2">
        <f>K42/(VLOOKUP($C86,'Main database'!$B$3:$C$45,2,FALSE)*1000000)</f>
        <v>8.8548567264808359E-4</v>
      </c>
      <c r="L86" s="2">
        <f>L42/(VLOOKUP($C86,'Main database'!$B$3:$C$45,2,FALSE)*1000000)</f>
        <v>0</v>
      </c>
      <c r="M86" s="2">
        <f>M42/(VLOOKUP($C86,'Main database'!$B$3:$C$45,2,FALSE)*1000000)</f>
        <v>6.9902134529036004E-3</v>
      </c>
      <c r="N86" s="2">
        <f>N42/(VLOOKUP($C86,'Main database'!$B$3:$C$45,2,FALSE)*1000000)</f>
        <v>4.6027990691637627E-3</v>
      </c>
      <c r="O86" s="2">
        <f>O42/(VLOOKUP($C86,'Main database'!$B$3:$C$45,2,FALSE)*1000000)</f>
        <v>4.4930271263646923E-3</v>
      </c>
      <c r="P86" s="2">
        <f>P42/(VLOOKUP($C86,'Main database'!$B$3:$C$45,2,FALSE)*1000000)</f>
        <v>2.515714721254355E-4</v>
      </c>
      <c r="Q86" s="2">
        <f>Q42/(VLOOKUP($C86,'Main database'!$B$3:$C$45,2,FALSE)*1000000)</f>
        <v>2.3174738675958188E-4</v>
      </c>
      <c r="R86" s="178">
        <f>R42/(VLOOKUP($C86,'Main database'!$B$3:$C$45,2,FALSE)*1000000)</f>
        <v>9.0201353310104537E-3</v>
      </c>
    </row>
    <row r="87" spans="2:20">
      <c r="B87" s="177" t="s">
        <v>3</v>
      </c>
      <c r="C87" s="2" t="s">
        <v>46</v>
      </c>
      <c r="D87" s="2">
        <f>D43/(VLOOKUP($C87,'Main database'!$B$3:$C$45,2,FALSE)*1000000)</f>
        <v>0.17420661715057395</v>
      </c>
      <c r="E87" s="2">
        <f>E43/(VLOOKUP($C87,'Main database'!$B$3:$C$45,2,FALSE)*1000000)</f>
        <v>1.8230925050641458E-2</v>
      </c>
      <c r="F87" s="2">
        <f>F43/(VLOOKUP($C87,'Main database'!$B$3:$C$45,2,FALSE)*1000000)</f>
        <v>2.0256583389601621E-3</v>
      </c>
      <c r="G87" s="2">
        <f>G43/(VLOOKUP($C87,'Main database'!$B$3:$C$45,2,FALSE)*1000000)</f>
        <v>1.3504388926401081E-3</v>
      </c>
      <c r="H87" s="2">
        <f>H43/(VLOOKUP($C87,'Main database'!$B$3:$C$45,2,FALSE)*1000000)</f>
        <v>0</v>
      </c>
      <c r="I87" s="2">
        <f>I43/(VLOOKUP($C87,'Main database'!$B$3:$C$45,2,FALSE)*1000000)</f>
        <v>6.5496286293045242E-2</v>
      </c>
      <c r="J87" s="2">
        <f>J43/(VLOOKUP($C87,'Main database'!$B$3:$C$45,2,FALSE)*1000000)</f>
        <v>0</v>
      </c>
      <c r="K87" s="2">
        <f>K43/(VLOOKUP($C87,'Main database'!$B$3:$C$45,2,FALSE)*1000000)</f>
        <v>0</v>
      </c>
      <c r="L87" s="2">
        <f>L43/(VLOOKUP($C87,'Main database'!$B$3:$C$45,2,FALSE)*1000000)</f>
        <v>0</v>
      </c>
      <c r="M87" s="2">
        <f>M43/(VLOOKUP($C87,'Main database'!$B$3:$C$45,2,FALSE)*1000000)</f>
        <v>8.7778528021607016E-3</v>
      </c>
      <c r="N87" s="2">
        <f>N43/(VLOOKUP($C87,'Main database'!$B$3:$C$45,2,FALSE)*1000000)</f>
        <v>0</v>
      </c>
      <c r="O87" s="2">
        <f>O43/(VLOOKUP($C87,'Main database'!$B$3:$C$45,2,FALSE)*1000000)</f>
        <v>2.7008777852802163E-3</v>
      </c>
      <c r="P87" s="2">
        <f>P43/(VLOOKUP($C87,'Main database'!$B$3:$C$45,2,FALSE)*1000000)</f>
        <v>0</v>
      </c>
      <c r="Q87" s="2">
        <f>Q43/(VLOOKUP($C87,'Main database'!$B$3:$C$45,2,FALSE)*1000000)</f>
        <v>0</v>
      </c>
      <c r="R87" s="178">
        <f>R43/(VLOOKUP($C87,'Main database'!$B$3:$C$45,2,FALSE)*1000000)</f>
        <v>6.0769750168804858E-3</v>
      </c>
    </row>
    <row r="88" spans="2:20" ht="15.75" thickBot="1">
      <c r="B88" s="179" t="s">
        <v>3</v>
      </c>
      <c r="C88" s="180" t="s">
        <v>51</v>
      </c>
      <c r="D88" s="180">
        <f>D44/(VLOOKUP($C88,'Main database'!$B$3:$C$45,2,FALSE)*1000000)</f>
        <v>0.14430501930501929</v>
      </c>
      <c r="E88" s="180">
        <f>E44/(VLOOKUP($C88,'Main database'!$B$3:$C$45,2,FALSE)*1000000)</f>
        <v>2.4131274131274131E-3</v>
      </c>
      <c r="F88" s="180">
        <f>F44/(VLOOKUP($C88,'Main database'!$B$3:$C$45,2,FALSE)*1000000)</f>
        <v>0</v>
      </c>
      <c r="G88" s="180">
        <f>G44/(VLOOKUP($C88,'Main database'!$B$3:$C$45,2,FALSE)*1000000)</f>
        <v>1.9305019305019305E-3</v>
      </c>
      <c r="H88" s="180">
        <f>H44/(VLOOKUP($C88,'Main database'!$B$3:$C$45,2,FALSE)*1000000)</f>
        <v>4.8262548262548264E-4</v>
      </c>
      <c r="I88" s="180">
        <f>I44/(VLOOKUP($C88,'Main database'!$B$3:$C$45,2,FALSE)*1000000)</f>
        <v>5.6949806949806947E-2</v>
      </c>
      <c r="J88" s="180">
        <f>J44/(VLOOKUP($C88,'Main database'!$B$3:$C$45,2,FALSE)*1000000)</f>
        <v>0</v>
      </c>
      <c r="K88" s="180">
        <f>K44/(VLOOKUP($C88,'Main database'!$B$3:$C$45,2,FALSE)*1000000)</f>
        <v>0</v>
      </c>
      <c r="L88" s="180">
        <f>L44/(VLOOKUP($C88,'Main database'!$B$3:$C$45,2,FALSE)*1000000)</f>
        <v>0</v>
      </c>
      <c r="M88" s="180">
        <f>M44/(VLOOKUP($C88,'Main database'!$B$3:$C$45,2,FALSE)*1000000)</f>
        <v>6.2741312741312737E-3</v>
      </c>
      <c r="N88" s="180">
        <f>N44/(VLOOKUP($C88,'Main database'!$B$3:$C$45,2,FALSE)*1000000)</f>
        <v>1.9305019305019305E-3</v>
      </c>
      <c r="O88" s="180">
        <f>O44/(VLOOKUP($C88,'Main database'!$B$3:$C$45,2,FALSE)*1000000)</f>
        <v>9.6525096525096527E-4</v>
      </c>
      <c r="P88" s="180">
        <f>P44/(VLOOKUP($C88,'Main database'!$B$3:$C$45,2,FALSE)*1000000)</f>
        <v>4.8262548262548262E-5</v>
      </c>
      <c r="Q88" s="180">
        <f>Q44/(VLOOKUP($C88,'Main database'!$B$3:$C$45,2,FALSE)*1000000)</f>
        <v>0</v>
      </c>
      <c r="R88" s="181">
        <f>R44/(VLOOKUP($C88,'Main database'!$B$3:$C$45,2,FALSE)*1000000)</f>
        <v>5.3088803088803087E-3</v>
      </c>
    </row>
    <row r="89" spans="2:20">
      <c r="B89" s="174" t="s">
        <v>7</v>
      </c>
      <c r="C89" s="175" t="s">
        <v>38</v>
      </c>
      <c r="D89" s="175">
        <f>D45/(VLOOKUP($C89,'Main database'!$B$3:$C$45,2,FALSE)*1000000)</f>
        <v>0</v>
      </c>
      <c r="E89" s="175">
        <f>E45/(VLOOKUP($C89,'Main database'!$B$3:$C$45,2,FALSE)*1000000)</f>
        <v>0</v>
      </c>
      <c r="F89" s="175">
        <f>F45/(VLOOKUP($C89,'Main database'!$B$3:$C$45,2,FALSE)*1000000)</f>
        <v>0</v>
      </c>
      <c r="G89" s="175">
        <f>G45/(VLOOKUP($C89,'Main database'!$B$3:$C$45,2,FALSE)*1000000)</f>
        <v>0</v>
      </c>
      <c r="H89" s="175">
        <f>H45/(VLOOKUP($C89,'Main database'!$B$3:$C$45,2,FALSE)*1000000)</f>
        <v>0</v>
      </c>
      <c r="I89" s="175">
        <f>I45/(VLOOKUP($C89,'Main database'!$B$3:$C$45,2,FALSE)*1000000)</f>
        <v>0</v>
      </c>
      <c r="J89" s="175">
        <f>J45/(VLOOKUP($C89,'Main database'!$B$3:$C$45,2,FALSE)*1000000)</f>
        <v>0</v>
      </c>
      <c r="K89" s="175">
        <f>K45/(VLOOKUP($C89,'Main database'!$B$3:$C$45,2,FALSE)*1000000)</f>
        <v>0</v>
      </c>
      <c r="L89" s="175">
        <f>L45/(VLOOKUP($C89,'Main database'!$B$3:$C$45,2,FALSE)*1000000)</f>
        <v>0</v>
      </c>
      <c r="M89" s="175">
        <f>M45/(VLOOKUP($C89,'Main database'!$B$3:$C$45,2,FALSE)*1000000)</f>
        <v>0</v>
      </c>
      <c r="N89" s="175">
        <f>N45/(VLOOKUP($C89,'Main database'!$B$3:$C$45,2,FALSE)*1000000)</f>
        <v>0</v>
      </c>
      <c r="O89" s="175">
        <f>O45/(VLOOKUP($C89,'Main database'!$B$3:$C$45,2,FALSE)*1000000)</f>
        <v>0</v>
      </c>
      <c r="P89" s="175">
        <f>P45/(VLOOKUP($C89,'Main database'!$B$3:$C$45,2,FALSE)*1000000)</f>
        <v>0</v>
      </c>
      <c r="Q89" s="175">
        <f>Q45/(VLOOKUP($C89,'Main database'!$B$3:$C$45,2,FALSE)*1000000)</f>
        <v>0</v>
      </c>
      <c r="R89" s="176">
        <f>R45/(VLOOKUP($C89,'Main database'!$B$3:$C$45,2,FALSE)*1000000)</f>
        <v>0</v>
      </c>
    </row>
    <row r="90" spans="2:20" ht="15.75" thickBot="1">
      <c r="B90" s="179" t="s">
        <v>7</v>
      </c>
      <c r="C90" s="180" t="s">
        <v>37</v>
      </c>
      <c r="D90" s="180">
        <f>D46/(VLOOKUP($C90,'Main database'!$B$3:$C$45,2,FALSE)*1000000)</f>
        <v>0</v>
      </c>
      <c r="E90" s="180">
        <f>E46/(VLOOKUP($C90,'Main database'!$B$3:$C$45,2,FALSE)*1000000)</f>
        <v>0</v>
      </c>
      <c r="F90" s="180">
        <f>F46/(VLOOKUP($C90,'Main database'!$B$3:$C$45,2,FALSE)*1000000)</f>
        <v>0</v>
      </c>
      <c r="G90" s="180">
        <f>G46/(VLOOKUP($C90,'Main database'!$B$3:$C$45,2,FALSE)*1000000)</f>
        <v>0</v>
      </c>
      <c r="H90" s="180">
        <f>H46/(VLOOKUP($C90,'Main database'!$B$3:$C$45,2,FALSE)*1000000)</f>
        <v>0</v>
      </c>
      <c r="I90" s="180">
        <f>I46/(VLOOKUP($C90,'Main database'!$B$3:$C$45,2,FALSE)*1000000)</f>
        <v>0</v>
      </c>
      <c r="J90" s="180">
        <f>J46/(VLOOKUP($C90,'Main database'!$B$3:$C$45,2,FALSE)*1000000)</f>
        <v>0</v>
      </c>
      <c r="K90" s="180">
        <f>K46/(VLOOKUP($C90,'Main database'!$B$3:$C$45,2,FALSE)*1000000)</f>
        <v>0</v>
      </c>
      <c r="L90" s="180">
        <f>L46/(VLOOKUP($C90,'Main database'!$B$3:$C$45,2,FALSE)*1000000)</f>
        <v>0</v>
      </c>
      <c r="M90" s="180">
        <f>M46/(VLOOKUP($C90,'Main database'!$B$3:$C$45,2,FALSE)*1000000)</f>
        <v>0</v>
      </c>
      <c r="N90" s="180">
        <f>N46/(VLOOKUP($C90,'Main database'!$B$3:$C$45,2,FALSE)*1000000)</f>
        <v>0</v>
      </c>
      <c r="O90" s="180">
        <f>O46/(VLOOKUP($C90,'Main database'!$B$3:$C$45,2,FALSE)*1000000)</f>
        <v>0</v>
      </c>
      <c r="P90" s="180">
        <f>P46/(VLOOKUP($C90,'Main database'!$B$3:$C$45,2,FALSE)*1000000)</f>
        <v>0</v>
      </c>
      <c r="Q90" s="180">
        <f>Q46/(VLOOKUP($C90,'Main database'!$B$3:$C$45,2,FALSE)*1000000)</f>
        <v>0</v>
      </c>
      <c r="R90" s="181">
        <f>R46/(VLOOKUP($C90,'Main database'!$B$3:$C$45,2,FALSE)*1000000)</f>
        <v>0</v>
      </c>
    </row>
    <row r="92" spans="2:20">
      <c r="B92" s="107" t="s">
        <v>196</v>
      </c>
      <c r="C92" s="107"/>
      <c r="D92" s="107">
        <v>10</v>
      </c>
      <c r="E92" s="107">
        <v>1</v>
      </c>
      <c r="F92" s="107">
        <v>10</v>
      </c>
      <c r="G92" s="107">
        <v>1000</v>
      </c>
      <c r="H92" s="107">
        <v>1000</v>
      </c>
      <c r="I92" s="107">
        <v>10</v>
      </c>
      <c r="J92" s="107">
        <v>1</v>
      </c>
      <c r="K92" s="107">
        <v>100</v>
      </c>
      <c r="L92" s="107">
        <v>10</v>
      </c>
      <c r="M92" s="107">
        <v>10</v>
      </c>
      <c r="N92" s="107">
        <v>10</v>
      </c>
      <c r="O92" s="107">
        <v>10</v>
      </c>
      <c r="P92" s="107">
        <v>10</v>
      </c>
      <c r="Q92" s="107">
        <v>10</v>
      </c>
      <c r="R92" s="107">
        <v>10</v>
      </c>
    </row>
    <row r="94" spans="2:20" ht="90.75" thickBot="1">
      <c r="B94" s="172" t="s">
        <v>76</v>
      </c>
      <c r="C94" s="172" t="s">
        <v>77</v>
      </c>
      <c r="D94" s="173" t="s">
        <v>182</v>
      </c>
      <c r="E94" s="173" t="s">
        <v>183</v>
      </c>
      <c r="F94" s="173" t="s">
        <v>184</v>
      </c>
      <c r="G94" s="173" t="s">
        <v>185</v>
      </c>
      <c r="H94" s="173" t="s">
        <v>186</v>
      </c>
      <c r="I94" s="173" t="s">
        <v>180</v>
      </c>
      <c r="J94" s="173" t="s">
        <v>181</v>
      </c>
      <c r="K94" s="173" t="s">
        <v>187</v>
      </c>
      <c r="L94" s="173" t="s">
        <v>188</v>
      </c>
      <c r="M94" s="173" t="s">
        <v>189</v>
      </c>
      <c r="N94" s="173" t="s">
        <v>190</v>
      </c>
      <c r="O94" s="173" t="s">
        <v>191</v>
      </c>
      <c r="P94" s="173" t="s">
        <v>192</v>
      </c>
      <c r="Q94" s="173" t="s">
        <v>193</v>
      </c>
      <c r="R94" s="173" t="s">
        <v>194</v>
      </c>
      <c r="S94" s="182" t="s">
        <v>197</v>
      </c>
      <c r="T94" s="183" t="s">
        <v>203</v>
      </c>
    </row>
    <row r="95" spans="2:20">
      <c r="B95" s="174" t="s">
        <v>4</v>
      </c>
      <c r="C95" s="175" t="s">
        <v>65</v>
      </c>
      <c r="D95" s="175">
        <f t="shared" ref="D95:R95" si="0">ROUND(D50*D$92,2)</f>
        <v>0.09</v>
      </c>
      <c r="E95" s="175">
        <f t="shared" si="0"/>
        <v>0</v>
      </c>
      <c r="F95" s="175">
        <f t="shared" si="0"/>
        <v>0</v>
      </c>
      <c r="G95" s="175">
        <f t="shared" si="0"/>
        <v>0</v>
      </c>
      <c r="H95" s="175">
        <f t="shared" si="0"/>
        <v>0</v>
      </c>
      <c r="I95" s="175">
        <f t="shared" si="0"/>
        <v>0</v>
      </c>
      <c r="J95" s="175">
        <f t="shared" si="0"/>
        <v>0</v>
      </c>
      <c r="K95" s="175">
        <f t="shared" si="0"/>
        <v>0</v>
      </c>
      <c r="L95" s="175">
        <f t="shared" si="0"/>
        <v>0</v>
      </c>
      <c r="M95" s="175">
        <f t="shared" si="0"/>
        <v>0.08</v>
      </c>
      <c r="N95" s="175">
        <f t="shared" si="0"/>
        <v>0</v>
      </c>
      <c r="O95" s="175">
        <f t="shared" si="0"/>
        <v>0</v>
      </c>
      <c r="P95" s="175">
        <f t="shared" si="0"/>
        <v>0</v>
      </c>
      <c r="Q95" s="175">
        <f t="shared" si="0"/>
        <v>0</v>
      </c>
      <c r="R95" s="175">
        <f t="shared" si="0"/>
        <v>0.01</v>
      </c>
      <c r="S95" s="184">
        <f>SUM(D95:R95)</f>
        <v>0.18</v>
      </c>
      <c r="T95" s="176" t="str">
        <f t="shared" ref="T95:T124" si="1">IF(S95=0,"NoData",IF(S95&lt;$B$140,$D$140,IF(S95&lt;$B$141,$D$141,IF(S95&lt;$B$142,$D$142,IF(S95&lt;$B$143,$D$143,$D$144)))))</f>
        <v>very low risk</v>
      </c>
    </row>
    <row r="96" spans="2:20">
      <c r="B96" s="177" t="s">
        <v>4</v>
      </c>
      <c r="C96" s="2" t="s">
        <v>66</v>
      </c>
      <c r="D96" s="2">
        <f t="shared" ref="D96:R96" si="2">ROUND(D51*D$92,2)</f>
        <v>0.06</v>
      </c>
      <c r="E96" s="2">
        <f t="shared" si="2"/>
        <v>0</v>
      </c>
      <c r="F96" s="2">
        <f t="shared" si="2"/>
        <v>0</v>
      </c>
      <c r="G96" s="2">
        <f t="shared" si="2"/>
        <v>0</v>
      </c>
      <c r="H96" s="2">
        <f t="shared" si="2"/>
        <v>0</v>
      </c>
      <c r="I96" s="2">
        <f t="shared" si="2"/>
        <v>0</v>
      </c>
      <c r="J96" s="2">
        <f t="shared" si="2"/>
        <v>0</v>
      </c>
      <c r="K96" s="2">
        <f t="shared" si="2"/>
        <v>0</v>
      </c>
      <c r="L96" s="2">
        <f t="shared" si="2"/>
        <v>0</v>
      </c>
      <c r="M96" s="2">
        <f t="shared" si="2"/>
        <v>0.02</v>
      </c>
      <c r="N96" s="2">
        <f t="shared" si="2"/>
        <v>0</v>
      </c>
      <c r="O96" s="2">
        <f t="shared" si="2"/>
        <v>0</v>
      </c>
      <c r="P96" s="2">
        <f t="shared" si="2"/>
        <v>0</v>
      </c>
      <c r="Q96" s="2">
        <f t="shared" si="2"/>
        <v>0</v>
      </c>
      <c r="R96" s="2">
        <f t="shared" si="2"/>
        <v>0</v>
      </c>
      <c r="S96" s="170">
        <f t="shared" ref="S96:S135" si="3">SUM(D96:R96)</f>
        <v>0.08</v>
      </c>
      <c r="T96" s="178" t="str">
        <f t="shared" si="1"/>
        <v>very low risk</v>
      </c>
    </row>
    <row r="97" spans="2:20">
      <c r="B97" s="177" t="s">
        <v>4</v>
      </c>
      <c r="C97" s="2" t="s">
        <v>64</v>
      </c>
      <c r="D97" s="2">
        <f t="shared" ref="D97:R97" si="4">ROUND(D52*D$92,2)</f>
        <v>0.1</v>
      </c>
      <c r="E97" s="2">
        <f t="shared" si="4"/>
        <v>0</v>
      </c>
      <c r="F97" s="2">
        <f t="shared" si="4"/>
        <v>0</v>
      </c>
      <c r="G97" s="2">
        <f t="shared" si="4"/>
        <v>0</v>
      </c>
      <c r="H97" s="2">
        <f t="shared" si="4"/>
        <v>0</v>
      </c>
      <c r="I97" s="2">
        <f t="shared" si="4"/>
        <v>0</v>
      </c>
      <c r="J97" s="2">
        <f t="shared" si="4"/>
        <v>0</v>
      </c>
      <c r="K97" s="2">
        <f t="shared" si="4"/>
        <v>0</v>
      </c>
      <c r="L97" s="2">
        <f t="shared" si="4"/>
        <v>0</v>
      </c>
      <c r="M97" s="2">
        <f t="shared" si="4"/>
        <v>0.1</v>
      </c>
      <c r="N97" s="2">
        <f t="shared" si="4"/>
        <v>0</v>
      </c>
      <c r="O97" s="2">
        <f t="shared" si="4"/>
        <v>0</v>
      </c>
      <c r="P97" s="2">
        <f t="shared" si="4"/>
        <v>0</v>
      </c>
      <c r="Q97" s="2">
        <f t="shared" si="4"/>
        <v>0</v>
      </c>
      <c r="R97" s="2">
        <f t="shared" si="4"/>
        <v>0.01</v>
      </c>
      <c r="S97" s="170">
        <f t="shared" si="3"/>
        <v>0.21000000000000002</v>
      </c>
      <c r="T97" s="178" t="str">
        <f t="shared" si="1"/>
        <v>very low risk</v>
      </c>
    </row>
    <row r="98" spans="2:20">
      <c r="B98" s="177" t="s">
        <v>4</v>
      </c>
      <c r="C98" s="2" t="s">
        <v>44</v>
      </c>
      <c r="D98" s="2">
        <f t="shared" ref="D98:R98" si="5">ROUND(D53*D$92,2)</f>
        <v>0.09</v>
      </c>
      <c r="E98" s="2">
        <f t="shared" si="5"/>
        <v>0</v>
      </c>
      <c r="F98" s="2">
        <f t="shared" si="5"/>
        <v>0</v>
      </c>
      <c r="G98" s="2">
        <f t="shared" si="5"/>
        <v>0</v>
      </c>
      <c r="H98" s="2">
        <f t="shared" si="5"/>
        <v>0</v>
      </c>
      <c r="I98" s="2">
        <f t="shared" si="5"/>
        <v>0</v>
      </c>
      <c r="J98" s="2">
        <f t="shared" si="5"/>
        <v>0</v>
      </c>
      <c r="K98" s="2">
        <f t="shared" si="5"/>
        <v>0</v>
      </c>
      <c r="L98" s="2">
        <f t="shared" si="5"/>
        <v>0</v>
      </c>
      <c r="M98" s="2">
        <f t="shared" si="5"/>
        <v>0.01</v>
      </c>
      <c r="N98" s="2">
        <f t="shared" si="5"/>
        <v>0</v>
      </c>
      <c r="O98" s="2">
        <f t="shared" si="5"/>
        <v>0</v>
      </c>
      <c r="P98" s="2">
        <f t="shared" si="5"/>
        <v>0</v>
      </c>
      <c r="Q98" s="2">
        <f t="shared" si="5"/>
        <v>0</v>
      </c>
      <c r="R98" s="2">
        <f t="shared" si="5"/>
        <v>0</v>
      </c>
      <c r="S98" s="170">
        <f t="shared" si="3"/>
        <v>9.9999999999999992E-2</v>
      </c>
      <c r="T98" s="178" t="str">
        <f t="shared" si="1"/>
        <v>very low risk</v>
      </c>
    </row>
    <row r="99" spans="2:20" ht="15.75" thickBot="1">
      <c r="B99" s="179" t="s">
        <v>4</v>
      </c>
      <c r="C99" s="180" t="s">
        <v>67</v>
      </c>
      <c r="D99" s="180">
        <f t="shared" ref="D99:R99" si="6">ROUND(D54*D$92,2)</f>
        <v>0.11</v>
      </c>
      <c r="E99" s="180">
        <f t="shared" si="6"/>
        <v>0</v>
      </c>
      <c r="F99" s="180">
        <f t="shared" si="6"/>
        <v>0</v>
      </c>
      <c r="G99" s="180">
        <f t="shared" si="6"/>
        <v>0</v>
      </c>
      <c r="H99" s="180">
        <f t="shared" si="6"/>
        <v>0</v>
      </c>
      <c r="I99" s="180">
        <f t="shared" si="6"/>
        <v>0</v>
      </c>
      <c r="J99" s="180">
        <f t="shared" si="6"/>
        <v>0</v>
      </c>
      <c r="K99" s="180">
        <f t="shared" si="6"/>
        <v>0</v>
      </c>
      <c r="L99" s="180">
        <f t="shared" si="6"/>
        <v>0</v>
      </c>
      <c r="M99" s="180">
        <f t="shared" si="6"/>
        <v>0.08</v>
      </c>
      <c r="N99" s="180">
        <f t="shared" si="6"/>
        <v>0</v>
      </c>
      <c r="O99" s="180">
        <f t="shared" si="6"/>
        <v>0</v>
      </c>
      <c r="P99" s="180">
        <f t="shared" si="6"/>
        <v>0</v>
      </c>
      <c r="Q99" s="180">
        <f t="shared" si="6"/>
        <v>0</v>
      </c>
      <c r="R99" s="180">
        <f t="shared" si="6"/>
        <v>0</v>
      </c>
      <c r="S99" s="185">
        <f t="shared" si="3"/>
        <v>0.19</v>
      </c>
      <c r="T99" s="181" t="str">
        <f t="shared" si="1"/>
        <v>very low risk</v>
      </c>
    </row>
    <row r="100" spans="2:20">
      <c r="B100" s="174" t="s">
        <v>5</v>
      </c>
      <c r="C100" s="175" t="s">
        <v>34</v>
      </c>
      <c r="D100" s="175">
        <f t="shared" ref="D100:R100" si="7">ROUND(D55*D$92,2)</f>
        <v>0</v>
      </c>
      <c r="E100" s="175">
        <f t="shared" si="7"/>
        <v>0</v>
      </c>
      <c r="F100" s="175">
        <f t="shared" si="7"/>
        <v>0</v>
      </c>
      <c r="G100" s="175">
        <f t="shared" si="7"/>
        <v>0</v>
      </c>
      <c r="H100" s="175">
        <f t="shared" si="7"/>
        <v>0</v>
      </c>
      <c r="I100" s="175">
        <f t="shared" si="7"/>
        <v>0</v>
      </c>
      <c r="J100" s="175">
        <f t="shared" si="7"/>
        <v>0</v>
      </c>
      <c r="K100" s="175">
        <f t="shared" si="7"/>
        <v>0</v>
      </c>
      <c r="L100" s="175">
        <f t="shared" si="7"/>
        <v>0</v>
      </c>
      <c r="M100" s="175">
        <f t="shared" si="7"/>
        <v>0</v>
      </c>
      <c r="N100" s="175">
        <f t="shared" si="7"/>
        <v>0</v>
      </c>
      <c r="O100" s="175">
        <f t="shared" si="7"/>
        <v>0</v>
      </c>
      <c r="P100" s="175">
        <f t="shared" si="7"/>
        <v>0</v>
      </c>
      <c r="Q100" s="175">
        <f t="shared" si="7"/>
        <v>0</v>
      </c>
      <c r="R100" s="175">
        <f t="shared" si="7"/>
        <v>0</v>
      </c>
      <c r="S100" s="184">
        <f t="shared" si="3"/>
        <v>0</v>
      </c>
      <c r="T100" s="176" t="str">
        <f t="shared" si="1"/>
        <v>NoData</v>
      </c>
    </row>
    <row r="101" spans="2:20">
      <c r="B101" s="177" t="s">
        <v>5</v>
      </c>
      <c r="C101" s="2" t="s">
        <v>35</v>
      </c>
      <c r="D101" s="2">
        <f t="shared" ref="D101:R101" si="8">ROUND(D56*D$92,2)</f>
        <v>0</v>
      </c>
      <c r="E101" s="2">
        <f t="shared" si="8"/>
        <v>0</v>
      </c>
      <c r="F101" s="2">
        <f t="shared" si="8"/>
        <v>0</v>
      </c>
      <c r="G101" s="2">
        <f t="shared" si="8"/>
        <v>0</v>
      </c>
      <c r="H101" s="2">
        <f t="shared" si="8"/>
        <v>0</v>
      </c>
      <c r="I101" s="2">
        <f t="shared" si="8"/>
        <v>0</v>
      </c>
      <c r="J101" s="2">
        <f t="shared" si="8"/>
        <v>0</v>
      </c>
      <c r="K101" s="2">
        <f t="shared" si="8"/>
        <v>0</v>
      </c>
      <c r="L101" s="2">
        <f t="shared" si="8"/>
        <v>0</v>
      </c>
      <c r="M101" s="2">
        <f t="shared" si="8"/>
        <v>0</v>
      </c>
      <c r="N101" s="2">
        <f t="shared" si="8"/>
        <v>0</v>
      </c>
      <c r="O101" s="2">
        <f t="shared" si="8"/>
        <v>0</v>
      </c>
      <c r="P101" s="2">
        <f t="shared" si="8"/>
        <v>0</v>
      </c>
      <c r="Q101" s="2">
        <f t="shared" si="8"/>
        <v>0</v>
      </c>
      <c r="R101" s="2">
        <f t="shared" si="8"/>
        <v>0</v>
      </c>
      <c r="S101" s="170">
        <f t="shared" si="3"/>
        <v>0</v>
      </c>
      <c r="T101" s="178" t="str">
        <f t="shared" si="1"/>
        <v>NoData</v>
      </c>
    </row>
    <row r="102" spans="2:20">
      <c r="B102" s="177" t="s">
        <v>5</v>
      </c>
      <c r="C102" s="2" t="s">
        <v>36</v>
      </c>
      <c r="D102" s="2">
        <f t="shared" ref="D102:R102" si="9">ROUND(D57*D$92,2)</f>
        <v>0</v>
      </c>
      <c r="E102" s="2">
        <f t="shared" si="9"/>
        <v>0</v>
      </c>
      <c r="F102" s="2">
        <f t="shared" si="9"/>
        <v>0</v>
      </c>
      <c r="G102" s="2">
        <f t="shared" si="9"/>
        <v>0</v>
      </c>
      <c r="H102" s="2">
        <f t="shared" si="9"/>
        <v>0</v>
      </c>
      <c r="I102" s="2">
        <f t="shared" si="9"/>
        <v>0</v>
      </c>
      <c r="J102" s="2">
        <f t="shared" si="9"/>
        <v>0</v>
      </c>
      <c r="K102" s="2">
        <f t="shared" si="9"/>
        <v>0</v>
      </c>
      <c r="L102" s="2">
        <f t="shared" si="9"/>
        <v>0</v>
      </c>
      <c r="M102" s="2">
        <f t="shared" si="9"/>
        <v>0</v>
      </c>
      <c r="N102" s="2">
        <f t="shared" si="9"/>
        <v>0</v>
      </c>
      <c r="O102" s="2">
        <f t="shared" si="9"/>
        <v>0</v>
      </c>
      <c r="P102" s="2">
        <f t="shared" si="9"/>
        <v>0</v>
      </c>
      <c r="Q102" s="2">
        <f t="shared" si="9"/>
        <v>0</v>
      </c>
      <c r="R102" s="2">
        <f t="shared" si="9"/>
        <v>0</v>
      </c>
      <c r="S102" s="170">
        <f t="shared" si="3"/>
        <v>0</v>
      </c>
      <c r="T102" s="178" t="str">
        <f t="shared" si="1"/>
        <v>NoData</v>
      </c>
    </row>
    <row r="103" spans="2:20">
      <c r="B103" s="177" t="s">
        <v>5</v>
      </c>
      <c r="C103" s="2" t="s">
        <v>30</v>
      </c>
      <c r="D103" s="2">
        <f t="shared" ref="D103:R103" si="10">ROUND(D58*D$92,2)</f>
        <v>0</v>
      </c>
      <c r="E103" s="2">
        <f t="shared" si="10"/>
        <v>0</v>
      </c>
      <c r="F103" s="2">
        <f t="shared" si="10"/>
        <v>0</v>
      </c>
      <c r="G103" s="2">
        <f t="shared" si="10"/>
        <v>0</v>
      </c>
      <c r="H103" s="2">
        <f t="shared" si="10"/>
        <v>0</v>
      </c>
      <c r="I103" s="2">
        <f t="shared" si="10"/>
        <v>0</v>
      </c>
      <c r="J103" s="2">
        <f t="shared" si="10"/>
        <v>0</v>
      </c>
      <c r="K103" s="2">
        <f t="shared" si="10"/>
        <v>0</v>
      </c>
      <c r="L103" s="2">
        <f t="shared" si="10"/>
        <v>0</v>
      </c>
      <c r="M103" s="2">
        <f t="shared" si="10"/>
        <v>0</v>
      </c>
      <c r="N103" s="2">
        <f t="shared" si="10"/>
        <v>0</v>
      </c>
      <c r="O103" s="2">
        <f t="shared" si="10"/>
        <v>0</v>
      </c>
      <c r="P103" s="2">
        <f t="shared" si="10"/>
        <v>0</v>
      </c>
      <c r="Q103" s="2">
        <f t="shared" si="10"/>
        <v>0</v>
      </c>
      <c r="R103" s="2">
        <f t="shared" si="10"/>
        <v>0</v>
      </c>
      <c r="S103" s="170">
        <f t="shared" si="3"/>
        <v>0</v>
      </c>
      <c r="T103" s="178" t="str">
        <f t="shared" si="1"/>
        <v>NoData</v>
      </c>
    </row>
    <row r="104" spans="2:20">
      <c r="B104" s="177" t="s">
        <v>5</v>
      </c>
      <c r="C104" s="2" t="s">
        <v>32</v>
      </c>
      <c r="D104" s="2">
        <f t="shared" ref="D104:R104" si="11">ROUND(D59*D$92,2)</f>
        <v>0</v>
      </c>
      <c r="E104" s="2">
        <f t="shared" si="11"/>
        <v>0</v>
      </c>
      <c r="F104" s="2">
        <f t="shared" si="11"/>
        <v>0</v>
      </c>
      <c r="G104" s="2">
        <f t="shared" si="11"/>
        <v>0</v>
      </c>
      <c r="H104" s="2">
        <f t="shared" si="11"/>
        <v>0</v>
      </c>
      <c r="I104" s="2">
        <f t="shared" si="11"/>
        <v>0</v>
      </c>
      <c r="J104" s="2">
        <f t="shared" si="11"/>
        <v>0</v>
      </c>
      <c r="K104" s="2">
        <f t="shared" si="11"/>
        <v>0</v>
      </c>
      <c r="L104" s="2">
        <f t="shared" si="11"/>
        <v>0</v>
      </c>
      <c r="M104" s="2">
        <f t="shared" si="11"/>
        <v>0</v>
      </c>
      <c r="N104" s="2">
        <f t="shared" si="11"/>
        <v>0</v>
      </c>
      <c r="O104" s="2">
        <f t="shared" si="11"/>
        <v>0</v>
      </c>
      <c r="P104" s="2">
        <f t="shared" si="11"/>
        <v>0</v>
      </c>
      <c r="Q104" s="2">
        <f t="shared" si="11"/>
        <v>0</v>
      </c>
      <c r="R104" s="2">
        <f t="shared" si="11"/>
        <v>0</v>
      </c>
      <c r="S104" s="170">
        <f t="shared" si="3"/>
        <v>0</v>
      </c>
      <c r="T104" s="178" t="str">
        <f t="shared" si="1"/>
        <v>NoData</v>
      </c>
    </row>
    <row r="105" spans="2:20" ht="15.75" thickBot="1">
      <c r="B105" s="179" t="s">
        <v>5</v>
      </c>
      <c r="C105" s="180" t="s">
        <v>33</v>
      </c>
      <c r="D105" s="180">
        <f t="shared" ref="D105:R105" si="12">ROUND(D60*D$92,2)</f>
        <v>0</v>
      </c>
      <c r="E105" s="180">
        <f t="shared" si="12"/>
        <v>0</v>
      </c>
      <c r="F105" s="180">
        <f t="shared" si="12"/>
        <v>0</v>
      </c>
      <c r="G105" s="180">
        <f t="shared" si="12"/>
        <v>0</v>
      </c>
      <c r="H105" s="180">
        <f t="shared" si="12"/>
        <v>0</v>
      </c>
      <c r="I105" s="180">
        <f t="shared" si="12"/>
        <v>0</v>
      </c>
      <c r="J105" s="180">
        <f t="shared" si="12"/>
        <v>0</v>
      </c>
      <c r="K105" s="180">
        <f t="shared" si="12"/>
        <v>0</v>
      </c>
      <c r="L105" s="180">
        <f t="shared" si="12"/>
        <v>0</v>
      </c>
      <c r="M105" s="180">
        <f t="shared" si="12"/>
        <v>0</v>
      </c>
      <c r="N105" s="180">
        <f t="shared" si="12"/>
        <v>0</v>
      </c>
      <c r="O105" s="180">
        <f t="shared" si="12"/>
        <v>0</v>
      </c>
      <c r="P105" s="180">
        <f t="shared" si="12"/>
        <v>0</v>
      </c>
      <c r="Q105" s="180">
        <f t="shared" si="12"/>
        <v>0</v>
      </c>
      <c r="R105" s="180">
        <f t="shared" si="12"/>
        <v>0</v>
      </c>
      <c r="S105" s="185">
        <f t="shared" si="3"/>
        <v>0</v>
      </c>
      <c r="T105" s="181" t="str">
        <f t="shared" si="1"/>
        <v>NoData</v>
      </c>
    </row>
    <row r="106" spans="2:20">
      <c r="B106" s="174" t="s">
        <v>6</v>
      </c>
      <c r="C106" s="175" t="s">
        <v>53</v>
      </c>
      <c r="D106" s="175">
        <f t="shared" ref="D106:R106" si="13">ROUND(D61*D$92,2)</f>
        <v>0</v>
      </c>
      <c r="E106" s="175">
        <f t="shared" si="13"/>
        <v>0</v>
      </c>
      <c r="F106" s="175">
        <f t="shared" si="13"/>
        <v>0</v>
      </c>
      <c r="G106" s="175">
        <f t="shared" si="13"/>
        <v>0</v>
      </c>
      <c r="H106" s="175">
        <f t="shared" si="13"/>
        <v>0</v>
      </c>
      <c r="I106" s="175">
        <f t="shared" si="13"/>
        <v>0</v>
      </c>
      <c r="J106" s="175">
        <f t="shared" si="13"/>
        <v>0</v>
      </c>
      <c r="K106" s="175">
        <f t="shared" si="13"/>
        <v>0</v>
      </c>
      <c r="L106" s="175">
        <f t="shared" si="13"/>
        <v>0</v>
      </c>
      <c r="M106" s="175">
        <f t="shared" si="13"/>
        <v>0</v>
      </c>
      <c r="N106" s="175">
        <f t="shared" si="13"/>
        <v>0</v>
      </c>
      <c r="O106" s="175">
        <f t="shared" si="13"/>
        <v>0</v>
      </c>
      <c r="P106" s="175">
        <f t="shared" si="13"/>
        <v>0</v>
      </c>
      <c r="Q106" s="175">
        <f t="shared" si="13"/>
        <v>0</v>
      </c>
      <c r="R106" s="175">
        <f t="shared" si="13"/>
        <v>0</v>
      </c>
      <c r="S106" s="184">
        <f t="shared" si="3"/>
        <v>0</v>
      </c>
      <c r="T106" s="176" t="str">
        <f t="shared" si="1"/>
        <v>NoData</v>
      </c>
    </row>
    <row r="107" spans="2:20">
      <c r="B107" s="177" t="s">
        <v>6</v>
      </c>
      <c r="C107" s="2" t="s">
        <v>54</v>
      </c>
      <c r="D107" s="2">
        <f t="shared" ref="D107:R107" si="14">ROUND(D62*D$92,2)</f>
        <v>0</v>
      </c>
      <c r="E107" s="2">
        <f t="shared" si="14"/>
        <v>0</v>
      </c>
      <c r="F107" s="2">
        <f t="shared" si="14"/>
        <v>0</v>
      </c>
      <c r="G107" s="2">
        <f t="shared" si="14"/>
        <v>0</v>
      </c>
      <c r="H107" s="2">
        <f t="shared" si="14"/>
        <v>0</v>
      </c>
      <c r="I107" s="2">
        <f t="shared" si="14"/>
        <v>0</v>
      </c>
      <c r="J107" s="2">
        <f t="shared" si="14"/>
        <v>0</v>
      </c>
      <c r="K107" s="2">
        <f t="shared" si="14"/>
        <v>0</v>
      </c>
      <c r="L107" s="2">
        <f t="shared" si="14"/>
        <v>0</v>
      </c>
      <c r="M107" s="2">
        <f t="shared" si="14"/>
        <v>0</v>
      </c>
      <c r="N107" s="2">
        <f t="shared" si="14"/>
        <v>0</v>
      </c>
      <c r="O107" s="2">
        <f t="shared" si="14"/>
        <v>0</v>
      </c>
      <c r="P107" s="2">
        <f t="shared" si="14"/>
        <v>0</v>
      </c>
      <c r="Q107" s="2">
        <f t="shared" si="14"/>
        <v>0</v>
      </c>
      <c r="R107" s="2">
        <f t="shared" si="14"/>
        <v>0</v>
      </c>
      <c r="S107" s="170">
        <f t="shared" si="3"/>
        <v>0</v>
      </c>
      <c r="T107" s="178" t="str">
        <f t="shared" si="1"/>
        <v>NoData</v>
      </c>
    </row>
    <row r="108" spans="2:20">
      <c r="B108" s="177" t="s">
        <v>6</v>
      </c>
      <c r="C108" s="2" t="s">
        <v>52</v>
      </c>
      <c r="D108" s="2">
        <f t="shared" ref="D108:R108" si="15">ROUND(D63*D$92,2)</f>
        <v>0</v>
      </c>
      <c r="E108" s="2">
        <f t="shared" si="15"/>
        <v>0</v>
      </c>
      <c r="F108" s="2">
        <f t="shared" si="15"/>
        <v>0</v>
      </c>
      <c r="G108" s="2">
        <f t="shared" si="15"/>
        <v>0</v>
      </c>
      <c r="H108" s="2">
        <f t="shared" si="15"/>
        <v>0</v>
      </c>
      <c r="I108" s="2">
        <f t="shared" si="15"/>
        <v>0</v>
      </c>
      <c r="J108" s="2">
        <f t="shared" si="15"/>
        <v>0</v>
      </c>
      <c r="K108" s="2">
        <f t="shared" si="15"/>
        <v>0</v>
      </c>
      <c r="L108" s="2">
        <f t="shared" si="15"/>
        <v>0</v>
      </c>
      <c r="M108" s="2">
        <f t="shared" si="15"/>
        <v>0</v>
      </c>
      <c r="N108" s="2">
        <f t="shared" si="15"/>
        <v>0</v>
      </c>
      <c r="O108" s="2">
        <f t="shared" si="15"/>
        <v>0</v>
      </c>
      <c r="P108" s="2">
        <f t="shared" si="15"/>
        <v>0</v>
      </c>
      <c r="Q108" s="2">
        <f t="shared" si="15"/>
        <v>0</v>
      </c>
      <c r="R108" s="2">
        <f t="shared" si="15"/>
        <v>0</v>
      </c>
      <c r="S108" s="170">
        <f t="shared" si="3"/>
        <v>0</v>
      </c>
      <c r="T108" s="178" t="str">
        <f t="shared" si="1"/>
        <v>NoData</v>
      </c>
    </row>
    <row r="109" spans="2:20">
      <c r="B109" s="177" t="s">
        <v>6</v>
      </c>
      <c r="C109" s="2" t="s">
        <v>39</v>
      </c>
      <c r="D109" s="2">
        <f t="shared" ref="D109:R109" si="16">ROUND(D64*D$92,2)</f>
        <v>0</v>
      </c>
      <c r="E109" s="2">
        <f t="shared" si="16"/>
        <v>0</v>
      </c>
      <c r="F109" s="2">
        <f t="shared" si="16"/>
        <v>0</v>
      </c>
      <c r="G109" s="2">
        <f t="shared" si="16"/>
        <v>0</v>
      </c>
      <c r="H109" s="2">
        <f t="shared" si="16"/>
        <v>0</v>
      </c>
      <c r="I109" s="2">
        <f t="shared" si="16"/>
        <v>0</v>
      </c>
      <c r="J109" s="2">
        <f t="shared" si="16"/>
        <v>0</v>
      </c>
      <c r="K109" s="2">
        <f t="shared" si="16"/>
        <v>0</v>
      </c>
      <c r="L109" s="2">
        <f t="shared" si="16"/>
        <v>0</v>
      </c>
      <c r="M109" s="2">
        <f t="shared" si="16"/>
        <v>0</v>
      </c>
      <c r="N109" s="2">
        <f t="shared" si="16"/>
        <v>0</v>
      </c>
      <c r="O109" s="2">
        <f t="shared" si="16"/>
        <v>0</v>
      </c>
      <c r="P109" s="2">
        <f t="shared" si="16"/>
        <v>0</v>
      </c>
      <c r="Q109" s="2">
        <f t="shared" si="16"/>
        <v>0</v>
      </c>
      <c r="R109" s="2">
        <f t="shared" si="16"/>
        <v>0</v>
      </c>
      <c r="S109" s="170">
        <f t="shared" si="3"/>
        <v>0</v>
      </c>
      <c r="T109" s="178" t="str">
        <f t="shared" si="1"/>
        <v>NoData</v>
      </c>
    </row>
    <row r="110" spans="2:20" ht="15.75" thickBot="1">
      <c r="B110" s="179" t="s">
        <v>6</v>
      </c>
      <c r="C110" s="180" t="s">
        <v>40</v>
      </c>
      <c r="D110" s="180">
        <f t="shared" ref="D110:R110" si="17">ROUND(D65*D$92,2)</f>
        <v>0</v>
      </c>
      <c r="E110" s="180">
        <f t="shared" si="17"/>
        <v>0</v>
      </c>
      <c r="F110" s="180">
        <f t="shared" si="17"/>
        <v>0</v>
      </c>
      <c r="G110" s="180">
        <f t="shared" si="17"/>
        <v>0</v>
      </c>
      <c r="H110" s="180">
        <f t="shared" si="17"/>
        <v>0</v>
      </c>
      <c r="I110" s="180">
        <f t="shared" si="17"/>
        <v>0</v>
      </c>
      <c r="J110" s="180">
        <f t="shared" si="17"/>
        <v>0</v>
      </c>
      <c r="K110" s="180">
        <f t="shared" si="17"/>
        <v>0</v>
      </c>
      <c r="L110" s="180">
        <f t="shared" si="17"/>
        <v>0</v>
      </c>
      <c r="M110" s="180">
        <f t="shared" si="17"/>
        <v>0</v>
      </c>
      <c r="N110" s="180">
        <f t="shared" si="17"/>
        <v>0</v>
      </c>
      <c r="O110" s="180">
        <f t="shared" si="17"/>
        <v>0</v>
      </c>
      <c r="P110" s="180">
        <f t="shared" si="17"/>
        <v>0</v>
      </c>
      <c r="Q110" s="180">
        <f t="shared" si="17"/>
        <v>0</v>
      </c>
      <c r="R110" s="180">
        <f t="shared" si="17"/>
        <v>0</v>
      </c>
      <c r="S110" s="185">
        <f t="shared" si="3"/>
        <v>0</v>
      </c>
      <c r="T110" s="181" t="str">
        <f t="shared" si="1"/>
        <v>NoData</v>
      </c>
    </row>
    <row r="111" spans="2:20">
      <c r="B111" s="174" t="s">
        <v>8</v>
      </c>
      <c r="C111" s="175" t="s">
        <v>68</v>
      </c>
      <c r="D111" s="175">
        <f t="shared" ref="D111:R111" si="18">ROUND(D66*D$92,2)</f>
        <v>4.7699999999999996</v>
      </c>
      <c r="E111" s="175">
        <f t="shared" si="18"/>
        <v>7.0000000000000007E-2</v>
      </c>
      <c r="F111" s="175">
        <f t="shared" si="18"/>
        <v>0.83</v>
      </c>
      <c r="G111" s="175">
        <f t="shared" si="18"/>
        <v>0</v>
      </c>
      <c r="H111" s="175">
        <f t="shared" si="18"/>
        <v>0</v>
      </c>
      <c r="I111" s="175">
        <f t="shared" si="18"/>
        <v>0</v>
      </c>
      <c r="J111" s="175">
        <f t="shared" si="18"/>
        <v>0</v>
      </c>
      <c r="K111" s="175">
        <f t="shared" si="18"/>
        <v>0</v>
      </c>
      <c r="L111" s="175">
        <f t="shared" si="18"/>
        <v>0</v>
      </c>
      <c r="M111" s="175">
        <f t="shared" si="18"/>
        <v>0</v>
      </c>
      <c r="N111" s="175">
        <f t="shared" si="18"/>
        <v>0</v>
      </c>
      <c r="O111" s="175">
        <f t="shared" si="18"/>
        <v>0</v>
      </c>
      <c r="P111" s="175">
        <f t="shared" si="18"/>
        <v>0</v>
      </c>
      <c r="Q111" s="175">
        <f t="shared" si="18"/>
        <v>0</v>
      </c>
      <c r="R111" s="175">
        <f t="shared" si="18"/>
        <v>0</v>
      </c>
      <c r="S111" s="184">
        <f t="shared" si="3"/>
        <v>5.67</v>
      </c>
      <c r="T111" s="176" t="str">
        <f t="shared" si="1"/>
        <v>low risk</v>
      </c>
    </row>
    <row r="112" spans="2:20">
      <c r="B112" s="177" t="s">
        <v>8</v>
      </c>
      <c r="C112" s="2" t="s">
        <v>56</v>
      </c>
      <c r="D112" s="2">
        <f t="shared" ref="D112:R112" si="19">ROUND(D67*D$92,2)</f>
        <v>0</v>
      </c>
      <c r="E112" s="2">
        <f t="shared" si="19"/>
        <v>0</v>
      </c>
      <c r="F112" s="2">
        <f t="shared" si="19"/>
        <v>0</v>
      </c>
      <c r="G112" s="2">
        <f t="shared" si="19"/>
        <v>0</v>
      </c>
      <c r="H112" s="2">
        <f t="shared" si="19"/>
        <v>0</v>
      </c>
      <c r="I112" s="2">
        <f t="shared" si="19"/>
        <v>0</v>
      </c>
      <c r="J112" s="2">
        <f t="shared" si="19"/>
        <v>0</v>
      </c>
      <c r="K112" s="2">
        <f t="shared" si="19"/>
        <v>0</v>
      </c>
      <c r="L112" s="2">
        <f t="shared" si="19"/>
        <v>0</v>
      </c>
      <c r="M112" s="2">
        <f t="shared" si="19"/>
        <v>0</v>
      </c>
      <c r="N112" s="2">
        <f t="shared" si="19"/>
        <v>0</v>
      </c>
      <c r="O112" s="2">
        <f t="shared" si="19"/>
        <v>0</v>
      </c>
      <c r="P112" s="2">
        <f t="shared" si="19"/>
        <v>0</v>
      </c>
      <c r="Q112" s="2">
        <f t="shared" si="19"/>
        <v>0</v>
      </c>
      <c r="R112" s="2">
        <f t="shared" si="19"/>
        <v>0</v>
      </c>
      <c r="S112" s="170">
        <f t="shared" si="3"/>
        <v>0</v>
      </c>
      <c r="T112" s="178" t="str">
        <f t="shared" si="1"/>
        <v>NoData</v>
      </c>
    </row>
    <row r="113" spans="2:21">
      <c r="B113" s="177" t="s">
        <v>8</v>
      </c>
      <c r="C113" s="2" t="s">
        <v>57</v>
      </c>
      <c r="D113" s="2">
        <f t="shared" ref="D113:R113" si="20">ROUND(D68*D$92,2)</f>
        <v>0</v>
      </c>
      <c r="E113" s="2">
        <f t="shared" si="20"/>
        <v>0</v>
      </c>
      <c r="F113" s="2">
        <f t="shared" si="20"/>
        <v>0</v>
      </c>
      <c r="G113" s="2">
        <f t="shared" si="20"/>
        <v>0</v>
      </c>
      <c r="H113" s="2">
        <f t="shared" si="20"/>
        <v>0</v>
      </c>
      <c r="I113" s="2">
        <f t="shared" si="20"/>
        <v>0</v>
      </c>
      <c r="J113" s="2">
        <f t="shared" si="20"/>
        <v>0</v>
      </c>
      <c r="K113" s="2">
        <f t="shared" si="20"/>
        <v>0</v>
      </c>
      <c r="L113" s="2">
        <f t="shared" si="20"/>
        <v>0</v>
      </c>
      <c r="M113" s="2">
        <f t="shared" si="20"/>
        <v>0</v>
      </c>
      <c r="N113" s="2">
        <f t="shared" si="20"/>
        <v>0</v>
      </c>
      <c r="O113" s="2">
        <f t="shared" si="20"/>
        <v>0</v>
      </c>
      <c r="P113" s="2">
        <f t="shared" si="20"/>
        <v>0</v>
      </c>
      <c r="Q113" s="2">
        <f t="shared" si="20"/>
        <v>0</v>
      </c>
      <c r="R113" s="2">
        <f t="shared" si="20"/>
        <v>0</v>
      </c>
      <c r="S113" s="170">
        <f t="shared" si="3"/>
        <v>0</v>
      </c>
      <c r="T113" s="178" t="str">
        <f t="shared" si="1"/>
        <v>NoData</v>
      </c>
    </row>
    <row r="114" spans="2:21">
      <c r="B114" s="177" t="s">
        <v>8</v>
      </c>
      <c r="C114" s="2" t="s">
        <v>55</v>
      </c>
      <c r="D114" s="2">
        <f t="shared" ref="D114:R114" si="21">ROUND(D69*D$92,2)</f>
        <v>0</v>
      </c>
      <c r="E114" s="2">
        <f t="shared" si="21"/>
        <v>0</v>
      </c>
      <c r="F114" s="2">
        <f t="shared" si="21"/>
        <v>0</v>
      </c>
      <c r="G114" s="2">
        <f t="shared" si="21"/>
        <v>0</v>
      </c>
      <c r="H114" s="2">
        <f t="shared" si="21"/>
        <v>0</v>
      </c>
      <c r="I114" s="2">
        <f t="shared" si="21"/>
        <v>0</v>
      </c>
      <c r="J114" s="2">
        <f t="shared" si="21"/>
        <v>0</v>
      </c>
      <c r="K114" s="2">
        <f t="shared" si="21"/>
        <v>0</v>
      </c>
      <c r="L114" s="2">
        <f t="shared" si="21"/>
        <v>0</v>
      </c>
      <c r="M114" s="2">
        <f t="shared" si="21"/>
        <v>0</v>
      </c>
      <c r="N114" s="2">
        <f t="shared" si="21"/>
        <v>0</v>
      </c>
      <c r="O114" s="2">
        <f t="shared" si="21"/>
        <v>0</v>
      </c>
      <c r="P114" s="2">
        <f t="shared" si="21"/>
        <v>0</v>
      </c>
      <c r="Q114" s="2">
        <f t="shared" si="21"/>
        <v>0</v>
      </c>
      <c r="R114" s="2">
        <f t="shared" si="21"/>
        <v>0</v>
      </c>
      <c r="S114" s="170">
        <f t="shared" si="3"/>
        <v>0</v>
      </c>
      <c r="T114" s="178" t="str">
        <f t="shared" si="1"/>
        <v>NoData</v>
      </c>
    </row>
    <row r="115" spans="2:21">
      <c r="B115" s="177" t="s">
        <v>8</v>
      </c>
      <c r="C115" s="2" t="s">
        <v>69</v>
      </c>
      <c r="D115" s="2">
        <f t="shared" ref="D115:R115" si="22">ROUND(D70*D$92,2)</f>
        <v>7.33</v>
      </c>
      <c r="E115" s="2">
        <f t="shared" si="22"/>
        <v>0.04</v>
      </c>
      <c r="F115" s="2">
        <f t="shared" si="22"/>
        <v>0.43</v>
      </c>
      <c r="G115" s="2">
        <f t="shared" si="22"/>
        <v>0</v>
      </c>
      <c r="H115" s="2">
        <f t="shared" si="22"/>
        <v>0</v>
      </c>
      <c r="I115" s="2">
        <f t="shared" si="22"/>
        <v>0</v>
      </c>
      <c r="J115" s="2">
        <f t="shared" si="22"/>
        <v>0</v>
      </c>
      <c r="K115" s="2">
        <f t="shared" si="22"/>
        <v>0</v>
      </c>
      <c r="L115" s="2">
        <f t="shared" si="22"/>
        <v>0</v>
      </c>
      <c r="M115" s="2">
        <f t="shared" si="22"/>
        <v>0</v>
      </c>
      <c r="N115" s="2">
        <f t="shared" si="22"/>
        <v>0</v>
      </c>
      <c r="O115" s="2">
        <f t="shared" si="22"/>
        <v>0</v>
      </c>
      <c r="P115" s="2">
        <f t="shared" si="22"/>
        <v>0</v>
      </c>
      <c r="Q115" s="2">
        <f t="shared" si="22"/>
        <v>0</v>
      </c>
      <c r="R115" s="2">
        <f t="shared" si="22"/>
        <v>0</v>
      </c>
      <c r="S115" s="170">
        <f t="shared" si="3"/>
        <v>7.8</v>
      </c>
      <c r="T115" s="178" t="str">
        <f t="shared" si="1"/>
        <v>low risk</v>
      </c>
    </row>
    <row r="116" spans="2:21" ht="15.75" thickBot="1">
      <c r="B116" s="177" t="s">
        <v>8</v>
      </c>
      <c r="C116" s="2" t="s">
        <v>163</v>
      </c>
      <c r="D116" s="2">
        <f t="shared" ref="D116:R116" si="23">ROUND(D71*D$92,2)</f>
        <v>4.55</v>
      </c>
      <c r="E116" s="2">
        <f t="shared" si="23"/>
        <v>0.06</v>
      </c>
      <c r="F116" s="2">
        <f t="shared" si="23"/>
        <v>1.56</v>
      </c>
      <c r="G116" s="2">
        <f t="shared" si="23"/>
        <v>0</v>
      </c>
      <c r="H116" s="2">
        <f t="shared" si="23"/>
        <v>0</v>
      </c>
      <c r="I116" s="2">
        <f t="shared" si="23"/>
        <v>0</v>
      </c>
      <c r="J116" s="2">
        <f t="shared" si="23"/>
        <v>0</v>
      </c>
      <c r="K116" s="2">
        <f t="shared" si="23"/>
        <v>0</v>
      </c>
      <c r="L116" s="2">
        <f t="shared" si="23"/>
        <v>0</v>
      </c>
      <c r="M116" s="2">
        <f t="shared" si="23"/>
        <v>0</v>
      </c>
      <c r="N116" s="2">
        <f t="shared" si="23"/>
        <v>0</v>
      </c>
      <c r="O116" s="2">
        <f t="shared" si="23"/>
        <v>0</v>
      </c>
      <c r="P116" s="2">
        <f t="shared" si="23"/>
        <v>0</v>
      </c>
      <c r="Q116" s="2">
        <f t="shared" si="23"/>
        <v>0</v>
      </c>
      <c r="R116" s="2">
        <f t="shared" si="23"/>
        <v>0</v>
      </c>
      <c r="S116" s="170">
        <f t="shared" si="3"/>
        <v>6.17</v>
      </c>
      <c r="T116" s="178" t="str">
        <f t="shared" si="1"/>
        <v>low risk</v>
      </c>
    </row>
    <row r="117" spans="2:21">
      <c r="B117" s="174" t="s">
        <v>9</v>
      </c>
      <c r="C117" s="175" t="s">
        <v>59</v>
      </c>
      <c r="D117" s="175">
        <f t="shared" ref="D117:R117" si="24">ROUND(D72*D$92,2)</f>
        <v>0</v>
      </c>
      <c r="E117" s="175">
        <f t="shared" si="24"/>
        <v>0</v>
      </c>
      <c r="F117" s="175">
        <f t="shared" si="24"/>
        <v>0</v>
      </c>
      <c r="G117" s="175">
        <f t="shared" si="24"/>
        <v>0</v>
      </c>
      <c r="H117" s="175">
        <f t="shared" si="24"/>
        <v>0</v>
      </c>
      <c r="I117" s="175">
        <f t="shared" si="24"/>
        <v>0</v>
      </c>
      <c r="J117" s="175">
        <f t="shared" si="24"/>
        <v>0</v>
      </c>
      <c r="K117" s="175">
        <f t="shared" si="24"/>
        <v>0</v>
      </c>
      <c r="L117" s="175">
        <f t="shared" si="24"/>
        <v>0</v>
      </c>
      <c r="M117" s="175">
        <f t="shared" si="24"/>
        <v>0</v>
      </c>
      <c r="N117" s="175">
        <f t="shared" si="24"/>
        <v>0</v>
      </c>
      <c r="O117" s="175">
        <f t="shared" si="24"/>
        <v>0</v>
      </c>
      <c r="P117" s="175">
        <f t="shared" si="24"/>
        <v>0</v>
      </c>
      <c r="Q117" s="175">
        <f t="shared" si="24"/>
        <v>0</v>
      </c>
      <c r="R117" s="175">
        <f t="shared" si="24"/>
        <v>0</v>
      </c>
      <c r="S117" s="184">
        <f t="shared" si="3"/>
        <v>0</v>
      </c>
      <c r="T117" s="176" t="str">
        <f t="shared" si="1"/>
        <v>NoData</v>
      </c>
    </row>
    <row r="118" spans="2:21">
      <c r="B118" s="177" t="s">
        <v>9</v>
      </c>
      <c r="C118" s="2" t="s">
        <v>45</v>
      </c>
      <c r="D118" s="2">
        <f t="shared" ref="D118:R118" si="25">ROUND(D73*D$92,2)</f>
        <v>0.01</v>
      </c>
      <c r="E118" s="2">
        <f t="shared" si="25"/>
        <v>0</v>
      </c>
      <c r="F118" s="2">
        <f t="shared" si="25"/>
        <v>0</v>
      </c>
      <c r="G118" s="2">
        <f t="shared" si="25"/>
        <v>1.39</v>
      </c>
      <c r="H118" s="2">
        <f t="shared" si="25"/>
        <v>0</v>
      </c>
      <c r="I118" s="2">
        <f t="shared" si="25"/>
        <v>0</v>
      </c>
      <c r="J118" s="2">
        <f t="shared" si="25"/>
        <v>0</v>
      </c>
      <c r="K118" s="2">
        <f t="shared" si="25"/>
        <v>0</v>
      </c>
      <c r="L118" s="2">
        <f t="shared" si="25"/>
        <v>0</v>
      </c>
      <c r="M118" s="2">
        <f t="shared" si="25"/>
        <v>0.01</v>
      </c>
      <c r="N118" s="2">
        <f t="shared" si="25"/>
        <v>0</v>
      </c>
      <c r="O118" s="2">
        <f t="shared" si="25"/>
        <v>0</v>
      </c>
      <c r="P118" s="2">
        <f t="shared" si="25"/>
        <v>0</v>
      </c>
      <c r="Q118" s="2">
        <f t="shared" si="25"/>
        <v>0</v>
      </c>
      <c r="R118" s="2">
        <f t="shared" si="25"/>
        <v>0.01</v>
      </c>
      <c r="S118" s="170">
        <f t="shared" si="3"/>
        <v>1.42</v>
      </c>
      <c r="T118" s="178" t="str">
        <f t="shared" si="1"/>
        <v>very low risk</v>
      </c>
    </row>
    <row r="119" spans="2:21">
      <c r="B119" s="177" t="s">
        <v>9</v>
      </c>
      <c r="C119" s="2" t="s">
        <v>58</v>
      </c>
      <c r="D119" s="2">
        <f t="shared" ref="D119:R119" si="26">ROUND(D74*D$92,2)</f>
        <v>0</v>
      </c>
      <c r="E119" s="2">
        <f t="shared" si="26"/>
        <v>0</v>
      </c>
      <c r="F119" s="2">
        <f t="shared" si="26"/>
        <v>0</v>
      </c>
      <c r="G119" s="2">
        <f t="shared" si="26"/>
        <v>0</v>
      </c>
      <c r="H119" s="2">
        <f t="shared" si="26"/>
        <v>0</v>
      </c>
      <c r="I119" s="2">
        <f t="shared" si="26"/>
        <v>0</v>
      </c>
      <c r="J119" s="2">
        <f t="shared" si="26"/>
        <v>0</v>
      </c>
      <c r="K119" s="2">
        <f t="shared" si="26"/>
        <v>0</v>
      </c>
      <c r="L119" s="2">
        <f t="shared" si="26"/>
        <v>0</v>
      </c>
      <c r="M119" s="2">
        <f t="shared" si="26"/>
        <v>0</v>
      </c>
      <c r="N119" s="2">
        <f t="shared" si="26"/>
        <v>0</v>
      </c>
      <c r="O119" s="2">
        <f t="shared" si="26"/>
        <v>0</v>
      </c>
      <c r="P119" s="2">
        <f t="shared" si="26"/>
        <v>0</v>
      </c>
      <c r="Q119" s="2">
        <f t="shared" si="26"/>
        <v>0</v>
      </c>
      <c r="R119" s="2">
        <f t="shared" si="26"/>
        <v>0</v>
      </c>
      <c r="S119" s="170">
        <f t="shared" si="3"/>
        <v>0</v>
      </c>
      <c r="T119" s="178" t="str">
        <f t="shared" si="1"/>
        <v>NoData</v>
      </c>
    </row>
    <row r="120" spans="2:21">
      <c r="B120" s="177" t="s">
        <v>9</v>
      </c>
      <c r="C120" s="2" t="s">
        <v>62</v>
      </c>
      <c r="D120" s="2">
        <f t="shared" ref="D120:R120" si="27">ROUND(D75*D$92,2)</f>
        <v>0</v>
      </c>
      <c r="E120" s="2">
        <f t="shared" si="27"/>
        <v>0</v>
      </c>
      <c r="F120" s="2">
        <f t="shared" si="27"/>
        <v>0</v>
      </c>
      <c r="G120" s="2">
        <f t="shared" si="27"/>
        <v>0</v>
      </c>
      <c r="H120" s="2">
        <f t="shared" si="27"/>
        <v>0</v>
      </c>
      <c r="I120" s="2">
        <f t="shared" si="27"/>
        <v>0</v>
      </c>
      <c r="J120" s="2">
        <f t="shared" si="27"/>
        <v>0</v>
      </c>
      <c r="K120" s="2">
        <f t="shared" si="27"/>
        <v>0</v>
      </c>
      <c r="L120" s="2">
        <f t="shared" si="27"/>
        <v>0</v>
      </c>
      <c r="M120" s="2">
        <f t="shared" si="27"/>
        <v>0</v>
      </c>
      <c r="N120" s="2">
        <f t="shared" si="27"/>
        <v>0</v>
      </c>
      <c r="O120" s="2">
        <f t="shared" si="27"/>
        <v>0</v>
      </c>
      <c r="P120" s="2">
        <f t="shared" si="27"/>
        <v>0</v>
      </c>
      <c r="Q120" s="2">
        <f t="shared" si="27"/>
        <v>0</v>
      </c>
      <c r="R120" s="2">
        <f t="shared" si="27"/>
        <v>0</v>
      </c>
      <c r="S120" s="170">
        <f t="shared" si="3"/>
        <v>0</v>
      </c>
      <c r="T120" s="178" t="str">
        <f t="shared" si="1"/>
        <v>NoData</v>
      </c>
    </row>
    <row r="121" spans="2:21">
      <c r="B121" s="177" t="s">
        <v>9</v>
      </c>
      <c r="C121" s="2" t="s">
        <v>61</v>
      </c>
      <c r="D121" s="2">
        <f t="shared" ref="D121:R121" si="28">ROUND(D76*D$92,2)</f>
        <v>0</v>
      </c>
      <c r="E121" s="2">
        <f t="shared" si="28"/>
        <v>0</v>
      </c>
      <c r="F121" s="2">
        <f t="shared" si="28"/>
        <v>0</v>
      </c>
      <c r="G121" s="2">
        <f t="shared" si="28"/>
        <v>0</v>
      </c>
      <c r="H121" s="2">
        <f t="shared" si="28"/>
        <v>0</v>
      </c>
      <c r="I121" s="2">
        <f t="shared" si="28"/>
        <v>0</v>
      </c>
      <c r="J121" s="2">
        <f t="shared" si="28"/>
        <v>0</v>
      </c>
      <c r="K121" s="2">
        <f t="shared" si="28"/>
        <v>0</v>
      </c>
      <c r="L121" s="2">
        <f t="shared" si="28"/>
        <v>0</v>
      </c>
      <c r="M121" s="2">
        <f t="shared" si="28"/>
        <v>0</v>
      </c>
      <c r="N121" s="2">
        <f t="shared" si="28"/>
        <v>0</v>
      </c>
      <c r="O121" s="2">
        <f t="shared" si="28"/>
        <v>0</v>
      </c>
      <c r="P121" s="2">
        <f t="shared" si="28"/>
        <v>0</v>
      </c>
      <c r="Q121" s="2">
        <f t="shared" si="28"/>
        <v>0</v>
      </c>
      <c r="R121" s="2">
        <f t="shared" si="28"/>
        <v>0</v>
      </c>
      <c r="S121" s="170">
        <f t="shared" si="3"/>
        <v>0</v>
      </c>
      <c r="T121" s="178" t="str">
        <f t="shared" si="1"/>
        <v>NoData</v>
      </c>
    </row>
    <row r="122" spans="2:21">
      <c r="B122" s="177" t="s">
        <v>9</v>
      </c>
      <c r="C122" s="2" t="s">
        <v>60</v>
      </c>
      <c r="D122" s="2">
        <f t="shared" ref="D122:R122" si="29">ROUND(D77*D$92,2)</f>
        <v>0</v>
      </c>
      <c r="E122" s="2">
        <f t="shared" si="29"/>
        <v>0</v>
      </c>
      <c r="F122" s="2">
        <f t="shared" si="29"/>
        <v>0</v>
      </c>
      <c r="G122" s="2">
        <f t="shared" si="29"/>
        <v>0</v>
      </c>
      <c r="H122" s="2">
        <f t="shared" si="29"/>
        <v>0</v>
      </c>
      <c r="I122" s="2">
        <f t="shared" si="29"/>
        <v>0</v>
      </c>
      <c r="J122" s="2">
        <f t="shared" si="29"/>
        <v>0</v>
      </c>
      <c r="K122" s="2">
        <f t="shared" si="29"/>
        <v>0</v>
      </c>
      <c r="L122" s="2">
        <f t="shared" si="29"/>
        <v>0</v>
      </c>
      <c r="M122" s="2">
        <f t="shared" si="29"/>
        <v>0</v>
      </c>
      <c r="N122" s="2">
        <f t="shared" si="29"/>
        <v>0</v>
      </c>
      <c r="O122" s="2">
        <f t="shared" si="29"/>
        <v>0</v>
      </c>
      <c r="P122" s="2">
        <f t="shared" si="29"/>
        <v>0</v>
      </c>
      <c r="Q122" s="2">
        <f t="shared" si="29"/>
        <v>0</v>
      </c>
      <c r="R122" s="2">
        <f t="shared" si="29"/>
        <v>0</v>
      </c>
      <c r="S122" s="170">
        <f t="shared" si="3"/>
        <v>0</v>
      </c>
      <c r="T122" s="178" t="str">
        <f t="shared" si="1"/>
        <v>NoData</v>
      </c>
    </row>
    <row r="123" spans="2:21" ht="15.75" thickBot="1">
      <c r="B123" s="179" t="s">
        <v>9</v>
      </c>
      <c r="C123" s="180" t="s">
        <v>63</v>
      </c>
      <c r="D123" s="180">
        <f t="shared" ref="D123:R123" si="30">ROUND(D78*D$92,2)</f>
        <v>0</v>
      </c>
      <c r="E123" s="180">
        <f t="shared" si="30"/>
        <v>0</v>
      </c>
      <c r="F123" s="180">
        <f t="shared" si="30"/>
        <v>0</v>
      </c>
      <c r="G123" s="180">
        <f t="shared" si="30"/>
        <v>0</v>
      </c>
      <c r="H123" s="180">
        <f t="shared" si="30"/>
        <v>0</v>
      </c>
      <c r="I123" s="180">
        <f t="shared" si="30"/>
        <v>0</v>
      </c>
      <c r="J123" s="180">
        <f t="shared" si="30"/>
        <v>0</v>
      </c>
      <c r="K123" s="180">
        <f t="shared" si="30"/>
        <v>0</v>
      </c>
      <c r="L123" s="180">
        <f t="shared" si="30"/>
        <v>0</v>
      </c>
      <c r="M123" s="180">
        <f t="shared" si="30"/>
        <v>0</v>
      </c>
      <c r="N123" s="180">
        <f t="shared" si="30"/>
        <v>0</v>
      </c>
      <c r="O123" s="180">
        <f t="shared" si="30"/>
        <v>0</v>
      </c>
      <c r="P123" s="180">
        <f t="shared" si="30"/>
        <v>0</v>
      </c>
      <c r="Q123" s="180">
        <f t="shared" si="30"/>
        <v>0</v>
      </c>
      <c r="R123" s="180">
        <f t="shared" si="30"/>
        <v>0</v>
      </c>
      <c r="S123" s="185">
        <f t="shared" si="3"/>
        <v>0</v>
      </c>
      <c r="T123" s="181" t="str">
        <f t="shared" si="1"/>
        <v>NoData</v>
      </c>
    </row>
    <row r="124" spans="2:21">
      <c r="B124" s="174" t="s">
        <v>3</v>
      </c>
      <c r="C124" s="175" t="s">
        <v>48</v>
      </c>
      <c r="D124" s="175">
        <f t="shared" ref="D124:R124" si="31">ROUND(D79*D$92,2)</f>
        <v>4.41</v>
      </c>
      <c r="E124" s="175">
        <f t="shared" si="31"/>
        <v>0</v>
      </c>
      <c r="F124" s="175">
        <f t="shared" si="31"/>
        <v>0</v>
      </c>
      <c r="G124" s="175">
        <f t="shared" si="31"/>
        <v>1.05</v>
      </c>
      <c r="H124" s="175">
        <f t="shared" si="31"/>
        <v>0.17</v>
      </c>
      <c r="I124" s="175">
        <f t="shared" si="31"/>
        <v>0</v>
      </c>
      <c r="J124" s="175">
        <f t="shared" si="31"/>
        <v>0.02</v>
      </c>
      <c r="K124" s="175">
        <f t="shared" si="31"/>
        <v>0</v>
      </c>
      <c r="L124" s="175">
        <f t="shared" si="31"/>
        <v>0</v>
      </c>
      <c r="M124" s="175">
        <f t="shared" si="31"/>
        <v>0.03</v>
      </c>
      <c r="N124" s="175">
        <f t="shared" si="31"/>
        <v>0.01</v>
      </c>
      <c r="O124" s="175">
        <f t="shared" si="31"/>
        <v>0</v>
      </c>
      <c r="P124" s="175">
        <f t="shared" si="31"/>
        <v>0</v>
      </c>
      <c r="Q124" s="175">
        <f t="shared" si="31"/>
        <v>0</v>
      </c>
      <c r="R124" s="175">
        <f t="shared" si="31"/>
        <v>0</v>
      </c>
      <c r="S124" s="184">
        <f t="shared" si="3"/>
        <v>5.6899999999999995</v>
      </c>
      <c r="T124" s="176" t="str">
        <f t="shared" si="1"/>
        <v>low risk</v>
      </c>
    </row>
    <row r="125" spans="2:21">
      <c r="B125" s="177" t="s">
        <v>3</v>
      </c>
      <c r="C125" s="2" t="s">
        <v>41</v>
      </c>
      <c r="D125" s="2">
        <f t="shared" ref="D125:R125" si="32">ROUND(D80*D$92,2)</f>
        <v>2.82</v>
      </c>
      <c r="E125" s="2">
        <f t="shared" si="32"/>
        <v>0.01</v>
      </c>
      <c r="F125" s="2">
        <f t="shared" si="32"/>
        <v>0</v>
      </c>
      <c r="G125" s="2">
        <f t="shared" si="32"/>
        <v>2.4300000000000002</v>
      </c>
      <c r="H125" s="2">
        <f t="shared" si="32"/>
        <v>0</v>
      </c>
      <c r="I125" s="2">
        <f t="shared" si="32"/>
        <v>0</v>
      </c>
      <c r="J125" s="2">
        <f t="shared" si="32"/>
        <v>0.04</v>
      </c>
      <c r="K125" s="2">
        <f t="shared" si="32"/>
        <v>0</v>
      </c>
      <c r="L125" s="2">
        <f t="shared" si="32"/>
        <v>0</v>
      </c>
      <c r="M125" s="2">
        <f t="shared" si="32"/>
        <v>0.11</v>
      </c>
      <c r="N125" s="2">
        <f t="shared" si="32"/>
        <v>0.02</v>
      </c>
      <c r="O125" s="2">
        <f t="shared" si="32"/>
        <v>0.02</v>
      </c>
      <c r="P125" s="2">
        <f t="shared" si="32"/>
        <v>0</v>
      </c>
      <c r="Q125" s="2">
        <f t="shared" si="32"/>
        <v>0</v>
      </c>
      <c r="R125" s="2">
        <f t="shared" si="32"/>
        <v>0.05</v>
      </c>
      <c r="S125" s="170">
        <f t="shared" si="3"/>
        <v>5.4999999999999991</v>
      </c>
      <c r="T125" s="178" t="str">
        <f t="shared" ref="T125:T135" si="33">IF(S125=0,"NoData",IF(S125&lt;$B$140,$D$140,IF(S125&lt;$B$141,$D$141,IF(S125&lt;$B$142,$D$142,IF(S125&lt;$B$143,$D$143,$D$144)))))</f>
        <v>low risk</v>
      </c>
      <c r="U125" s="186"/>
    </row>
    <row r="126" spans="2:21">
      <c r="B126" s="177" t="s">
        <v>3</v>
      </c>
      <c r="C126" s="2" t="s">
        <v>47</v>
      </c>
      <c r="D126" s="2">
        <f t="shared" ref="D126:R126" si="34">ROUND(D81*D$92,2)</f>
        <v>1.39</v>
      </c>
      <c r="E126" s="2">
        <f t="shared" si="34"/>
        <v>0.02</v>
      </c>
      <c r="F126" s="2">
        <f t="shared" si="34"/>
        <v>0</v>
      </c>
      <c r="G126" s="2">
        <f t="shared" si="34"/>
        <v>6.31</v>
      </c>
      <c r="H126" s="2">
        <f t="shared" si="34"/>
        <v>0</v>
      </c>
      <c r="I126" s="2">
        <f t="shared" si="34"/>
        <v>0.52</v>
      </c>
      <c r="J126" s="2">
        <f t="shared" si="34"/>
        <v>0</v>
      </c>
      <c r="K126" s="2">
        <f t="shared" si="34"/>
        <v>0</v>
      </c>
      <c r="L126" s="2">
        <f t="shared" si="34"/>
        <v>0</v>
      </c>
      <c r="M126" s="2">
        <f t="shared" si="34"/>
        <v>0.11</v>
      </c>
      <c r="N126" s="2">
        <f t="shared" si="34"/>
        <v>0.09</v>
      </c>
      <c r="O126" s="2">
        <f t="shared" si="34"/>
        <v>0.02</v>
      </c>
      <c r="P126" s="2">
        <f t="shared" si="34"/>
        <v>0</v>
      </c>
      <c r="Q126" s="2">
        <f t="shared" si="34"/>
        <v>0</v>
      </c>
      <c r="R126" s="2">
        <f t="shared" si="34"/>
        <v>0.03</v>
      </c>
      <c r="S126" s="170">
        <f t="shared" si="3"/>
        <v>8.4899999999999984</v>
      </c>
      <c r="T126" s="178" t="str">
        <f t="shared" si="33"/>
        <v>low risk</v>
      </c>
    </row>
    <row r="127" spans="2:21">
      <c r="B127" s="177" t="s">
        <v>3</v>
      </c>
      <c r="C127" s="2" t="s">
        <v>50</v>
      </c>
      <c r="D127" s="2">
        <f t="shared" ref="D127:R127" si="35">ROUND(D82*D$92,2)</f>
        <v>1.17</v>
      </c>
      <c r="E127" s="2">
        <f t="shared" si="35"/>
        <v>0.02</v>
      </c>
      <c r="F127" s="2">
        <f t="shared" si="35"/>
        <v>0.01</v>
      </c>
      <c r="G127" s="2">
        <f t="shared" si="35"/>
        <v>18.39</v>
      </c>
      <c r="H127" s="2">
        <f t="shared" si="35"/>
        <v>0</v>
      </c>
      <c r="I127" s="2">
        <f t="shared" si="35"/>
        <v>0.84</v>
      </c>
      <c r="J127" s="2">
        <f t="shared" si="35"/>
        <v>0</v>
      </c>
      <c r="K127" s="2">
        <f t="shared" si="35"/>
        <v>0.01</v>
      </c>
      <c r="L127" s="2">
        <f t="shared" si="35"/>
        <v>0</v>
      </c>
      <c r="M127" s="2">
        <f t="shared" si="35"/>
        <v>0.15</v>
      </c>
      <c r="N127" s="2">
        <f t="shared" si="35"/>
        <v>0.06</v>
      </c>
      <c r="O127" s="2">
        <f t="shared" si="35"/>
        <v>0.03</v>
      </c>
      <c r="P127" s="2">
        <f t="shared" si="35"/>
        <v>0</v>
      </c>
      <c r="Q127" s="2">
        <f t="shared" si="35"/>
        <v>0</v>
      </c>
      <c r="R127" s="2">
        <f t="shared" si="35"/>
        <v>0.03</v>
      </c>
      <c r="S127" s="170">
        <f t="shared" si="3"/>
        <v>20.71</v>
      </c>
      <c r="T127" s="178" t="str">
        <f t="shared" si="33"/>
        <v>high risk</v>
      </c>
    </row>
    <row r="128" spans="2:21">
      <c r="B128" s="177" t="s">
        <v>3</v>
      </c>
      <c r="C128" s="2" t="s">
        <v>43</v>
      </c>
      <c r="D128" s="2">
        <f t="shared" ref="D128:R128" si="36">ROUND(D83*D$92,2)</f>
        <v>3.93</v>
      </c>
      <c r="E128" s="2">
        <f t="shared" si="36"/>
        <v>0.01</v>
      </c>
      <c r="F128" s="2">
        <f t="shared" si="36"/>
        <v>0</v>
      </c>
      <c r="G128" s="2">
        <f t="shared" si="36"/>
        <v>4.38</v>
      </c>
      <c r="H128" s="2">
        <f t="shared" si="36"/>
        <v>0</v>
      </c>
      <c r="I128" s="2">
        <f t="shared" si="36"/>
        <v>0</v>
      </c>
      <c r="J128" s="2">
        <f t="shared" si="36"/>
        <v>7.0000000000000007E-2</v>
      </c>
      <c r="K128" s="2">
        <f t="shared" si="36"/>
        <v>0</v>
      </c>
      <c r="L128" s="2">
        <f t="shared" si="36"/>
        <v>0</v>
      </c>
      <c r="M128" s="2">
        <f t="shared" si="36"/>
        <v>0.05</v>
      </c>
      <c r="N128" s="2">
        <f t="shared" si="36"/>
        <v>0.01</v>
      </c>
      <c r="O128" s="2">
        <f t="shared" si="36"/>
        <v>0.01</v>
      </c>
      <c r="P128" s="2">
        <f t="shared" si="36"/>
        <v>0.01</v>
      </c>
      <c r="Q128" s="2">
        <f t="shared" si="36"/>
        <v>0</v>
      </c>
      <c r="R128" s="2">
        <f t="shared" si="36"/>
        <v>0.01</v>
      </c>
      <c r="S128" s="170">
        <f t="shared" si="3"/>
        <v>8.48</v>
      </c>
      <c r="T128" s="178" t="str">
        <f t="shared" si="33"/>
        <v>low risk</v>
      </c>
    </row>
    <row r="129" spans="2:20">
      <c r="B129" s="177" t="s">
        <v>3</v>
      </c>
      <c r="C129" s="2" t="s">
        <v>31</v>
      </c>
      <c r="D129" s="2">
        <f t="shared" ref="D129:R129" si="37">ROUND(D84*D$92,2)</f>
        <v>3.81</v>
      </c>
      <c r="E129" s="2">
        <f t="shared" si="37"/>
        <v>0</v>
      </c>
      <c r="F129" s="2">
        <f t="shared" si="37"/>
        <v>0</v>
      </c>
      <c r="G129" s="2">
        <f t="shared" si="37"/>
        <v>0.79</v>
      </c>
      <c r="H129" s="2">
        <f t="shared" si="37"/>
        <v>0.41</v>
      </c>
      <c r="I129" s="2">
        <f t="shared" si="37"/>
        <v>0</v>
      </c>
      <c r="J129" s="2">
        <f t="shared" si="37"/>
        <v>0.02</v>
      </c>
      <c r="K129" s="2">
        <f t="shared" si="37"/>
        <v>0.02</v>
      </c>
      <c r="L129" s="2">
        <f t="shared" si="37"/>
        <v>0</v>
      </c>
      <c r="M129" s="2">
        <f t="shared" si="37"/>
        <v>0.03</v>
      </c>
      <c r="N129" s="2">
        <f t="shared" si="37"/>
        <v>0.01</v>
      </c>
      <c r="O129" s="2">
        <f t="shared" si="37"/>
        <v>0</v>
      </c>
      <c r="P129" s="2">
        <f t="shared" si="37"/>
        <v>0</v>
      </c>
      <c r="Q129" s="2">
        <f t="shared" si="37"/>
        <v>0</v>
      </c>
      <c r="R129" s="2">
        <f t="shared" si="37"/>
        <v>0.01</v>
      </c>
      <c r="S129" s="170">
        <f t="shared" si="3"/>
        <v>5.0999999999999988</v>
      </c>
      <c r="T129" s="178" t="str">
        <f t="shared" si="33"/>
        <v>low risk</v>
      </c>
    </row>
    <row r="130" spans="2:20">
      <c r="B130" s="177" t="s">
        <v>3</v>
      </c>
      <c r="C130" s="2" t="s">
        <v>49</v>
      </c>
      <c r="D130" s="2">
        <f t="shared" ref="D130:R130" si="38">ROUND(D85*D$92,2)</f>
        <v>6.03</v>
      </c>
      <c r="E130" s="2">
        <f t="shared" si="38"/>
        <v>0.01</v>
      </c>
      <c r="F130" s="2">
        <f t="shared" si="38"/>
        <v>0.02</v>
      </c>
      <c r="G130" s="2">
        <f t="shared" si="38"/>
        <v>2.09</v>
      </c>
      <c r="H130" s="2">
        <f t="shared" si="38"/>
        <v>3.06</v>
      </c>
      <c r="I130" s="2">
        <f t="shared" si="38"/>
        <v>0.18</v>
      </c>
      <c r="J130" s="2">
        <f t="shared" si="38"/>
        <v>0</v>
      </c>
      <c r="K130" s="2">
        <f t="shared" si="38"/>
        <v>0.01</v>
      </c>
      <c r="L130" s="2">
        <f t="shared" si="38"/>
        <v>0</v>
      </c>
      <c r="M130" s="2">
        <f t="shared" si="38"/>
        <v>0.06</v>
      </c>
      <c r="N130" s="2">
        <f t="shared" si="38"/>
        <v>0.03</v>
      </c>
      <c r="O130" s="2">
        <f t="shared" si="38"/>
        <v>0.01</v>
      </c>
      <c r="P130" s="2">
        <f t="shared" si="38"/>
        <v>0</v>
      </c>
      <c r="Q130" s="2">
        <f t="shared" si="38"/>
        <v>0</v>
      </c>
      <c r="R130" s="2">
        <f t="shared" si="38"/>
        <v>0.01</v>
      </c>
      <c r="S130" s="170">
        <f t="shared" si="3"/>
        <v>11.509999999999998</v>
      </c>
      <c r="T130" s="178" t="str">
        <f t="shared" si="33"/>
        <v>moderate risk</v>
      </c>
    </row>
    <row r="131" spans="2:20">
      <c r="B131" s="177" t="s">
        <v>3</v>
      </c>
      <c r="C131" s="2" t="s">
        <v>42</v>
      </c>
      <c r="D131" s="2">
        <f t="shared" ref="D131:R131" si="39">ROUND(D86*D$92,2)</f>
        <v>2.37</v>
      </c>
      <c r="E131" s="2">
        <f t="shared" si="39"/>
        <v>0.01</v>
      </c>
      <c r="F131" s="2">
        <f t="shared" si="39"/>
        <v>0</v>
      </c>
      <c r="G131" s="2">
        <f t="shared" si="39"/>
        <v>6.14</v>
      </c>
      <c r="H131" s="2">
        <f t="shared" si="39"/>
        <v>0</v>
      </c>
      <c r="I131" s="2">
        <f t="shared" si="39"/>
        <v>0</v>
      </c>
      <c r="J131" s="2">
        <f t="shared" si="39"/>
        <v>0.12</v>
      </c>
      <c r="K131" s="2">
        <f t="shared" si="39"/>
        <v>0.09</v>
      </c>
      <c r="L131" s="2">
        <f t="shared" si="39"/>
        <v>0</v>
      </c>
      <c r="M131" s="2">
        <f t="shared" si="39"/>
        <v>7.0000000000000007E-2</v>
      </c>
      <c r="N131" s="2">
        <f t="shared" si="39"/>
        <v>0.05</v>
      </c>
      <c r="O131" s="2">
        <f t="shared" si="39"/>
        <v>0.04</v>
      </c>
      <c r="P131" s="2">
        <f t="shared" si="39"/>
        <v>0</v>
      </c>
      <c r="Q131" s="2">
        <f t="shared" si="39"/>
        <v>0</v>
      </c>
      <c r="R131" s="2">
        <f t="shared" si="39"/>
        <v>0.09</v>
      </c>
      <c r="S131" s="170">
        <f t="shared" si="3"/>
        <v>8.9799999999999986</v>
      </c>
      <c r="T131" s="178" t="str">
        <f t="shared" si="33"/>
        <v>low risk</v>
      </c>
    </row>
    <row r="132" spans="2:20">
      <c r="B132" s="177" t="s">
        <v>3</v>
      </c>
      <c r="C132" s="2" t="s">
        <v>46</v>
      </c>
      <c r="D132" s="2">
        <f t="shared" ref="D132:R132" si="40">ROUND(D87*D$92,2)</f>
        <v>1.74</v>
      </c>
      <c r="E132" s="2">
        <f t="shared" si="40"/>
        <v>0.02</v>
      </c>
      <c r="F132" s="2">
        <f t="shared" si="40"/>
        <v>0.02</v>
      </c>
      <c r="G132" s="2">
        <f t="shared" si="40"/>
        <v>1.35</v>
      </c>
      <c r="H132" s="2">
        <f t="shared" si="40"/>
        <v>0</v>
      </c>
      <c r="I132" s="2">
        <f t="shared" si="40"/>
        <v>0.65</v>
      </c>
      <c r="J132" s="2">
        <f t="shared" si="40"/>
        <v>0</v>
      </c>
      <c r="K132" s="2">
        <f t="shared" si="40"/>
        <v>0</v>
      </c>
      <c r="L132" s="2">
        <f t="shared" si="40"/>
        <v>0</v>
      </c>
      <c r="M132" s="2">
        <f t="shared" si="40"/>
        <v>0.09</v>
      </c>
      <c r="N132" s="2">
        <f t="shared" si="40"/>
        <v>0</v>
      </c>
      <c r="O132" s="2">
        <f t="shared" si="40"/>
        <v>0.03</v>
      </c>
      <c r="P132" s="2">
        <f t="shared" si="40"/>
        <v>0</v>
      </c>
      <c r="Q132" s="2">
        <f t="shared" si="40"/>
        <v>0</v>
      </c>
      <c r="R132" s="2">
        <f t="shared" si="40"/>
        <v>0.06</v>
      </c>
      <c r="S132" s="170">
        <f t="shared" si="3"/>
        <v>3.9599999999999995</v>
      </c>
      <c r="T132" s="178" t="str">
        <f t="shared" si="33"/>
        <v>very low risk</v>
      </c>
    </row>
    <row r="133" spans="2:20" ht="15.75" thickBot="1">
      <c r="B133" s="179" t="s">
        <v>3</v>
      </c>
      <c r="C133" s="180" t="s">
        <v>51</v>
      </c>
      <c r="D133" s="180">
        <f t="shared" ref="D133:R133" si="41">ROUND(D88*D$92,2)</f>
        <v>1.44</v>
      </c>
      <c r="E133" s="180">
        <f t="shared" si="41"/>
        <v>0</v>
      </c>
      <c r="F133" s="180">
        <f t="shared" si="41"/>
        <v>0</v>
      </c>
      <c r="G133" s="180">
        <f t="shared" si="41"/>
        <v>1.93</v>
      </c>
      <c r="H133" s="180">
        <f t="shared" si="41"/>
        <v>0.48</v>
      </c>
      <c r="I133" s="180">
        <f t="shared" si="41"/>
        <v>0.56999999999999995</v>
      </c>
      <c r="J133" s="180">
        <f t="shared" si="41"/>
        <v>0</v>
      </c>
      <c r="K133" s="180">
        <f t="shared" si="41"/>
        <v>0</v>
      </c>
      <c r="L133" s="180">
        <f t="shared" si="41"/>
        <v>0</v>
      </c>
      <c r="M133" s="180">
        <f t="shared" si="41"/>
        <v>0.06</v>
      </c>
      <c r="N133" s="180">
        <f t="shared" si="41"/>
        <v>0.02</v>
      </c>
      <c r="O133" s="180">
        <f t="shared" si="41"/>
        <v>0.01</v>
      </c>
      <c r="P133" s="180">
        <f t="shared" si="41"/>
        <v>0</v>
      </c>
      <c r="Q133" s="180">
        <f t="shared" si="41"/>
        <v>0</v>
      </c>
      <c r="R133" s="180">
        <f t="shared" si="41"/>
        <v>0.05</v>
      </c>
      <c r="S133" s="185">
        <f t="shared" si="3"/>
        <v>4.5599999999999987</v>
      </c>
      <c r="T133" s="181" t="str">
        <f t="shared" si="33"/>
        <v>very low risk</v>
      </c>
    </row>
    <row r="134" spans="2:20">
      <c r="B134" s="174" t="s">
        <v>7</v>
      </c>
      <c r="C134" s="175" t="s">
        <v>38</v>
      </c>
      <c r="D134" s="175">
        <f t="shared" ref="D134:R134" si="42">ROUND(D89*D$92,2)</f>
        <v>0</v>
      </c>
      <c r="E134" s="175">
        <f t="shared" si="42"/>
        <v>0</v>
      </c>
      <c r="F134" s="175">
        <f t="shared" si="42"/>
        <v>0</v>
      </c>
      <c r="G134" s="175">
        <f t="shared" si="42"/>
        <v>0</v>
      </c>
      <c r="H134" s="175">
        <f t="shared" si="42"/>
        <v>0</v>
      </c>
      <c r="I134" s="175">
        <f t="shared" si="42"/>
        <v>0</v>
      </c>
      <c r="J134" s="175">
        <f t="shared" si="42"/>
        <v>0</v>
      </c>
      <c r="K134" s="175">
        <f t="shared" si="42"/>
        <v>0</v>
      </c>
      <c r="L134" s="175">
        <f t="shared" si="42"/>
        <v>0</v>
      </c>
      <c r="M134" s="175">
        <f t="shared" si="42"/>
        <v>0</v>
      </c>
      <c r="N134" s="175">
        <f t="shared" si="42"/>
        <v>0</v>
      </c>
      <c r="O134" s="175">
        <f t="shared" si="42"/>
        <v>0</v>
      </c>
      <c r="P134" s="175">
        <f t="shared" si="42"/>
        <v>0</v>
      </c>
      <c r="Q134" s="175">
        <f t="shared" si="42"/>
        <v>0</v>
      </c>
      <c r="R134" s="175">
        <f t="shared" si="42"/>
        <v>0</v>
      </c>
      <c r="S134" s="184">
        <f t="shared" si="3"/>
        <v>0</v>
      </c>
      <c r="T134" s="176" t="str">
        <f t="shared" si="33"/>
        <v>NoData</v>
      </c>
    </row>
    <row r="135" spans="2:20" ht="15.75" thickBot="1">
      <c r="B135" s="179" t="s">
        <v>7</v>
      </c>
      <c r="C135" s="180" t="s">
        <v>37</v>
      </c>
      <c r="D135" s="180">
        <f t="shared" ref="D135:R135" si="43">ROUND(D90*D$92,2)</f>
        <v>0</v>
      </c>
      <c r="E135" s="180">
        <f t="shared" si="43"/>
        <v>0</v>
      </c>
      <c r="F135" s="180">
        <f t="shared" si="43"/>
        <v>0</v>
      </c>
      <c r="G135" s="180">
        <f t="shared" si="43"/>
        <v>0</v>
      </c>
      <c r="H135" s="180">
        <f t="shared" si="43"/>
        <v>0</v>
      </c>
      <c r="I135" s="180">
        <f t="shared" si="43"/>
        <v>0</v>
      </c>
      <c r="J135" s="180">
        <f t="shared" si="43"/>
        <v>0</v>
      </c>
      <c r="K135" s="180">
        <f t="shared" si="43"/>
        <v>0</v>
      </c>
      <c r="L135" s="180">
        <f t="shared" si="43"/>
        <v>0</v>
      </c>
      <c r="M135" s="180">
        <f t="shared" si="43"/>
        <v>0</v>
      </c>
      <c r="N135" s="180">
        <f t="shared" si="43"/>
        <v>0</v>
      </c>
      <c r="O135" s="180">
        <f t="shared" si="43"/>
        <v>0</v>
      </c>
      <c r="P135" s="180">
        <f t="shared" si="43"/>
        <v>0</v>
      </c>
      <c r="Q135" s="180">
        <f t="shared" si="43"/>
        <v>0</v>
      </c>
      <c r="R135" s="180">
        <f t="shared" si="43"/>
        <v>0</v>
      </c>
      <c r="S135" s="185">
        <f t="shared" si="3"/>
        <v>0</v>
      </c>
      <c r="T135" s="181" t="str">
        <f t="shared" si="33"/>
        <v>NoData</v>
      </c>
    </row>
    <row r="138" spans="2:20" ht="15.75">
      <c r="B138" s="14"/>
      <c r="C138" s="155" t="s">
        <v>221</v>
      </c>
      <c r="D138" s="14"/>
      <c r="E138" s="14"/>
    </row>
    <row r="139" spans="2:20" s="1" customFormat="1" ht="15.75">
      <c r="B139" s="14"/>
      <c r="C139" s="155"/>
      <c r="D139" s="14"/>
      <c r="E139" s="14"/>
      <c r="S139" s="142"/>
    </row>
    <row r="140" spans="2:20">
      <c r="B140" s="14">
        <v>5</v>
      </c>
      <c r="C140" s="164" t="s">
        <v>198</v>
      </c>
      <c r="D140" s="164" t="s">
        <v>124</v>
      </c>
      <c r="E140" s="164"/>
    </row>
    <row r="141" spans="2:20">
      <c r="B141" s="14">
        <v>10</v>
      </c>
      <c r="C141" s="165" t="s">
        <v>199</v>
      </c>
      <c r="D141" s="156" t="s">
        <v>126</v>
      </c>
      <c r="E141" s="156"/>
      <c r="G141" s="158"/>
    </row>
    <row r="142" spans="2:20">
      <c r="B142" s="14">
        <v>20</v>
      </c>
      <c r="C142" s="166" t="s">
        <v>200</v>
      </c>
      <c r="D142" s="167" t="s">
        <v>128</v>
      </c>
      <c r="E142" s="167"/>
    </row>
    <row r="143" spans="2:20">
      <c r="B143" s="14">
        <v>50</v>
      </c>
      <c r="C143" s="168" t="s">
        <v>201</v>
      </c>
      <c r="D143" s="169" t="s">
        <v>130</v>
      </c>
      <c r="E143" s="169"/>
    </row>
    <row r="144" spans="2:20">
      <c r="B144" s="14"/>
      <c r="C144" s="190" t="s">
        <v>202</v>
      </c>
      <c r="D144" s="190" t="s">
        <v>132</v>
      </c>
      <c r="E144" s="190"/>
    </row>
  </sheetData>
  <mergeCells count="1">
    <mergeCell ref="D4:R4"/>
  </mergeCells>
  <conditionalFormatting sqref="T95:T135">
    <cfRule type="cellIs" dxfId="4" priority="1" operator="equal">
      <formula>"very high risk"</formula>
    </cfRule>
    <cfRule type="cellIs" dxfId="3" priority="2" operator="equal">
      <formula>"high risk"</formula>
    </cfRule>
    <cfRule type="cellIs" dxfId="2" priority="3" operator="equal">
      <formula>"moderate risk"</formula>
    </cfRule>
    <cfRule type="cellIs" dxfId="1" priority="4" operator="equal">
      <formula>"low risk"</formula>
    </cfRule>
    <cfRule type="cellIs" dxfId="0" priority="5" operator="equal">
      <formula>"very low risk"</formula>
    </cfRule>
    <cfRule type="cellIs" priority="6" operator="equal">
      <formula>"NoData"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Indicators calculations</vt:lpstr>
      <vt:lpstr>Visualisation &amp; benchmarking</vt:lpstr>
      <vt:lpstr>Main database</vt:lpstr>
      <vt:lpstr>GW vulnerability algorithm</vt:lpstr>
      <vt:lpstr>data</vt:lpstr>
      <vt:lpstr> LandCover 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Łabaj</dc:creator>
  <cp:lastModifiedBy>Łabaj Paweł</cp:lastModifiedBy>
  <cp:lastPrinted>2021-09-20T15:01:52Z</cp:lastPrinted>
  <dcterms:created xsi:type="dcterms:W3CDTF">2020-06-17T12:37:32Z</dcterms:created>
  <dcterms:modified xsi:type="dcterms:W3CDTF">2022-07-13T07:38:30Z</dcterms:modified>
</cp:coreProperties>
</file>