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Open-Loop Workflow\UPDATE_FINAL\"/>
    </mc:Choice>
  </mc:AlternateContent>
  <bookViews>
    <workbookView xWindow="0" yWindow="0" windowWidth="19200" windowHeight="11595"/>
  </bookViews>
  <sheets>
    <sheet name="one_area" sheetId="1" r:id="rId1"/>
    <sheet name="raster_calc" sheetId="8" r:id="rId2"/>
    <sheet name="import" sheetId="5" r:id="rId3"/>
    <sheet name="export" sheetId="10" r:id="rId4"/>
  </sheets>
  <definedNames>
    <definedName name="_xlnm._FilterDatabase" localSheetId="2" hidden="1">import!$A$1:$G$1</definedName>
    <definedName name="_xlnm._FilterDatabase" localSheetId="1" hidden="1">raster_calc!$A$13:$V$28</definedName>
    <definedName name="_Ref493841894" localSheetId="0">one_area!#REF!</definedName>
    <definedName name="_Ref494097556" localSheetId="0">one_area!#REF!</definedName>
    <definedName name="_Ref494098684" localSheetId="0">one_area!#REF!</definedName>
    <definedName name="_Ref494098704" localSheetId="0">one_area!#REF!</definedName>
    <definedName name="_Ref494185089" localSheetId="0">one_area!#REF!</definedName>
    <definedName name="ALL_2" localSheetId="2">import!$A$1:$G$1927</definedName>
    <definedName name="_xlnm.Print_Area" localSheetId="0">one_area!$A$1:$F$43</definedName>
    <definedName name="Export_Output" localSheetId="2">import!#REF!</definedName>
    <definedName name="GWD2_" localSheetId="1">raster_calc!$A$13:$C$22</definedName>
    <definedName name="SZ" localSheetId="1">raster_calc!$D$13:$D$22</definedName>
  </definedNames>
  <calcPr calcId="152511"/>
</workbook>
</file>

<file path=xl/calcChain.xml><?xml version="1.0" encoding="utf-8"?>
<calcChain xmlns="http://schemas.openxmlformats.org/spreadsheetml/2006/main">
  <c r="D24" i="1" l="1"/>
  <c r="D42" i="1" l="1"/>
  <c r="V14" i="8"/>
  <c r="V15" i="8" l="1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U15" i="8" l="1"/>
  <c r="T28" i="8" l="1"/>
  <c r="S28" i="8"/>
  <c r="P28" i="8"/>
  <c r="N28" i="8"/>
  <c r="M28" i="8"/>
  <c r="T27" i="8"/>
  <c r="U27" i="8" s="1"/>
  <c r="S27" i="8"/>
  <c r="P27" i="8"/>
  <c r="N27" i="8"/>
  <c r="M27" i="8"/>
  <c r="O27" i="8" s="1"/>
  <c r="T26" i="8"/>
  <c r="S26" i="8"/>
  <c r="P26" i="8"/>
  <c r="N26" i="8"/>
  <c r="M26" i="8"/>
  <c r="T25" i="8"/>
  <c r="S25" i="8"/>
  <c r="P25" i="8"/>
  <c r="N25" i="8"/>
  <c r="M25" i="8"/>
  <c r="T24" i="8"/>
  <c r="S24" i="8"/>
  <c r="P24" i="8"/>
  <c r="N24" i="8"/>
  <c r="M24" i="8"/>
  <c r="T23" i="8"/>
  <c r="S23" i="8"/>
  <c r="P23" i="8"/>
  <c r="N23" i="8"/>
  <c r="M23" i="8"/>
  <c r="T22" i="8"/>
  <c r="S22" i="8"/>
  <c r="P22" i="8"/>
  <c r="N22" i="8"/>
  <c r="M22" i="8"/>
  <c r="T21" i="8"/>
  <c r="S21" i="8"/>
  <c r="P21" i="8"/>
  <c r="N21" i="8"/>
  <c r="M21" i="8"/>
  <c r="O21" i="8" s="1"/>
  <c r="J21" i="8" s="1"/>
  <c r="T20" i="8"/>
  <c r="S20" i="8"/>
  <c r="P20" i="8"/>
  <c r="N20" i="8"/>
  <c r="M20" i="8"/>
  <c r="T19" i="8"/>
  <c r="S19" i="8"/>
  <c r="P19" i="8"/>
  <c r="N19" i="8"/>
  <c r="M19" i="8"/>
  <c r="T18" i="8"/>
  <c r="S18" i="8"/>
  <c r="P18" i="8"/>
  <c r="N18" i="8"/>
  <c r="M18" i="8"/>
  <c r="T17" i="8"/>
  <c r="S17" i="8"/>
  <c r="P17" i="8"/>
  <c r="N17" i="8"/>
  <c r="M17" i="8"/>
  <c r="T16" i="8"/>
  <c r="S16" i="8"/>
  <c r="P16" i="8"/>
  <c r="N16" i="8"/>
  <c r="M16" i="8"/>
  <c r="T15" i="8"/>
  <c r="S15" i="8"/>
  <c r="P15" i="8"/>
  <c r="N15" i="8"/>
  <c r="M15" i="8"/>
  <c r="T14" i="8"/>
  <c r="S14" i="8"/>
  <c r="P14" i="8"/>
  <c r="N14" i="8"/>
  <c r="M14" i="8"/>
  <c r="F8" i="8"/>
  <c r="J4" i="8"/>
  <c r="J3" i="8"/>
  <c r="F2" i="8"/>
  <c r="F5" i="8" s="1"/>
  <c r="F6" i="8" s="1"/>
  <c r="R21" i="8" s="1"/>
  <c r="D40" i="1"/>
  <c r="D38" i="1"/>
  <c r="D41" i="1" s="1"/>
  <c r="D37" i="1"/>
  <c r="D34" i="1" s="1"/>
  <c r="D20" i="1" s="1"/>
  <c r="D33" i="1"/>
  <c r="D21" i="1" s="1"/>
  <c r="D31" i="1"/>
  <c r="D30" i="1"/>
  <c r="D32" i="1" s="1"/>
  <c r="D25" i="1"/>
  <c r="D28" i="1" s="1"/>
  <c r="D29" i="1" s="1"/>
  <c r="D35" i="1" s="1"/>
  <c r="L27" i="8" l="1"/>
  <c r="D22" i="1"/>
  <c r="F24" i="1"/>
  <c r="D23" i="1"/>
  <c r="D19" i="1"/>
  <c r="U14" i="8"/>
  <c r="L14" i="8" s="1"/>
  <c r="O16" i="8"/>
  <c r="J16" i="8" s="1"/>
  <c r="O28" i="8"/>
  <c r="J28" i="8" s="1"/>
  <c r="O26" i="8"/>
  <c r="J26" i="8" s="1"/>
  <c r="O18" i="8"/>
  <c r="J18" i="8" s="1"/>
  <c r="J5" i="8"/>
  <c r="R25" i="8"/>
  <c r="Q25" i="8" s="1"/>
  <c r="R28" i="8"/>
  <c r="U17" i="8"/>
  <c r="R19" i="8"/>
  <c r="O20" i="8"/>
  <c r="J20" i="8" s="1"/>
  <c r="R22" i="8"/>
  <c r="O15" i="8"/>
  <c r="J15" i="8" s="1"/>
  <c r="R17" i="8"/>
  <c r="O22" i="8"/>
  <c r="J22" i="8" s="1"/>
  <c r="R24" i="8"/>
  <c r="U26" i="8"/>
  <c r="L26" i="8" s="1"/>
  <c r="R14" i="8"/>
  <c r="R18" i="8"/>
  <c r="R15" i="8"/>
  <c r="Q15" i="8" s="1"/>
  <c r="I15" i="8" s="1"/>
  <c r="Q21" i="8"/>
  <c r="I21" i="8" s="1"/>
  <c r="R26" i="8"/>
  <c r="Q26" i="8" s="1"/>
  <c r="R16" i="8"/>
  <c r="Q16" i="8" s="1"/>
  <c r="H16" i="8" s="1"/>
  <c r="R20" i="8"/>
  <c r="U21" i="8"/>
  <c r="L21" i="8" s="1"/>
  <c r="R23" i="8"/>
  <c r="Q23" i="8" s="1"/>
  <c r="U25" i="8"/>
  <c r="R27" i="8"/>
  <c r="Q27" i="8" s="1"/>
  <c r="I27" i="8" s="1"/>
  <c r="U28" i="8"/>
  <c r="L28" i="8" s="1"/>
  <c r="U23" i="8"/>
  <c r="L23" i="8" s="1"/>
  <c r="U19" i="8"/>
  <c r="U24" i="8"/>
  <c r="L24" i="8" s="1"/>
  <c r="J27" i="8"/>
  <c r="O14" i="8"/>
  <c r="J14" i="8" s="1"/>
  <c r="O17" i="8"/>
  <c r="J17" i="8" s="1"/>
  <c r="Q17" i="8"/>
  <c r="I17" i="8" s="1"/>
  <c r="O24" i="8"/>
  <c r="J24" i="8" s="1"/>
  <c r="O25" i="8"/>
  <c r="J25" i="8" s="1"/>
  <c r="Q19" i="8"/>
  <c r="I19" i="8" s="1"/>
  <c r="U22" i="8"/>
  <c r="L22" i="8" s="1"/>
  <c r="O19" i="8"/>
  <c r="J19" i="8" s="1"/>
  <c r="O23" i="8"/>
  <c r="J23" i="8" s="1"/>
  <c r="Q22" i="8"/>
  <c r="I22" i="8" s="1"/>
  <c r="H15" i="8"/>
  <c r="Q18" i="8"/>
  <c r="H18" i="8" s="1"/>
  <c r="Q28" i="8"/>
  <c r="H28" i="8" s="1"/>
  <c r="K24" i="8"/>
  <c r="Q14" i="8"/>
  <c r="I14" i="8" s="1"/>
  <c r="Q20" i="8"/>
  <c r="H20" i="8" s="1"/>
  <c r="U16" i="8"/>
  <c r="L16" i="8" s="1"/>
  <c r="U18" i="8"/>
  <c r="L18" i="8" s="1"/>
  <c r="U20" i="8"/>
  <c r="L20" i="8" s="1"/>
  <c r="Q24" i="8"/>
  <c r="I24" i="8" s="1"/>
  <c r="K28" i="8"/>
  <c r="K15" i="8"/>
  <c r="K19" i="8"/>
  <c r="K23" i="8"/>
  <c r="K27" i="8"/>
  <c r="K17" i="8"/>
  <c r="K21" i="8"/>
  <c r="K25" i="8"/>
  <c r="J8" i="8"/>
  <c r="I25" i="8" l="1"/>
  <c r="H25" i="8"/>
  <c r="H26" i="8"/>
  <c r="I26" i="8"/>
  <c r="L25" i="8"/>
  <c r="H22" i="8"/>
  <c r="H21" i="8"/>
  <c r="L19" i="8"/>
  <c r="H27" i="8"/>
  <c r="L17" i="8"/>
  <c r="K26" i="8"/>
  <c r="L15" i="8"/>
  <c r="D43" i="1"/>
  <c r="I23" i="8"/>
  <c r="H23" i="8"/>
  <c r="H24" i="8"/>
  <c r="H17" i="8"/>
  <c r="I20" i="8"/>
  <c r="I18" i="8"/>
  <c r="I16" i="8"/>
  <c r="K22" i="8"/>
  <c r="H19" i="8"/>
  <c r="H14" i="8"/>
  <c r="K14" i="8"/>
  <c r="K20" i="8"/>
  <c r="K16" i="8"/>
  <c r="I28" i="8"/>
  <c r="K18" i="8"/>
  <c r="J6" i="8"/>
  <c r="J10" i="8"/>
  <c r="J7" i="8"/>
  <c r="J9" i="8"/>
</calcChain>
</file>

<file path=xl/connections.xml><?xml version="1.0" encoding="utf-8"?>
<connections xmlns="http://schemas.openxmlformats.org/spreadsheetml/2006/main">
  <connection id="1" name="ALL_2" type="6" refreshedVersion="5" background="1" saveData="1">
    <textPr codePage="850" sourceFile="G:\Open-Loop Workflow\openloop\ALL_2.txt" decimal="," thousands="." semicolon="1">
      <textFields count="7">
        <textField/>
        <textField/>
        <textField/>
        <textField/>
        <textField/>
        <textField/>
        <textField/>
      </textFields>
    </textPr>
  </connection>
  <connection id="2" name="GWD21" type="6" refreshedVersion="5" background="1" saveData="1">
    <textPr codePage="850" sourceFile="G:\Open-Loop Workflow\openloop\GWD2.csv" decimal="," thousands="." semicolon="1">
      <textFields count="5">
        <textField/>
        <textField/>
        <textField/>
        <textField/>
        <textField/>
      </textFields>
    </textPr>
  </connection>
  <connection id="3" name="SZ1" type="6" refreshedVersion="5" background="1" saveData="1">
    <textPr codePage="850" sourceFile="G:\Open-Loop Workflow\openloop\SZ.txt" decimal="," thousands="." semicolon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<sst xmlns="http://schemas.openxmlformats.org/spreadsheetml/2006/main" count="259" uniqueCount="154">
  <si>
    <t>W/m/K</t>
  </si>
  <si>
    <t>m</t>
  </si>
  <si>
    <t>kf</t>
  </si>
  <si>
    <t>m/s</t>
  </si>
  <si>
    <t>MJ/m³/K</t>
  </si>
  <si>
    <t>K</t>
  </si>
  <si>
    <t>ΔT</t>
  </si>
  <si>
    <t>LT</t>
  </si>
  <si>
    <t>yr</t>
  </si>
  <si>
    <t>recovery factor</t>
  </si>
  <si>
    <t>-</t>
  </si>
  <si>
    <t>rf</t>
  </si>
  <si>
    <t>m²/s</t>
  </si>
  <si>
    <t>a</t>
  </si>
  <si>
    <t>W/m²/K</t>
  </si>
  <si>
    <t>R</t>
  </si>
  <si>
    <t>Thickness of saturated zone</t>
  </si>
  <si>
    <t>comments / changes</t>
  </si>
  <si>
    <t>s</t>
  </si>
  <si>
    <t xml:space="preserve">max. hydraulic radius </t>
  </si>
  <si>
    <t>operational temperature difference</t>
  </si>
  <si>
    <t>minimum allowed gw temperature</t>
  </si>
  <si>
    <t>maximal allowed gw temperature</t>
  </si>
  <si>
    <t>°C</t>
  </si>
  <si>
    <t>entire PA</t>
  </si>
  <si>
    <t>from grid</t>
  </si>
  <si>
    <t>maximum yield - well peak load</t>
  </si>
  <si>
    <t>kWh/yr/m²</t>
  </si>
  <si>
    <t>kW</t>
  </si>
  <si>
    <t>l/s</t>
  </si>
  <si>
    <t>kWh/yr/m²/K</t>
  </si>
  <si>
    <t>from grid or entire PA</t>
  </si>
  <si>
    <t>maximum power - well peak load</t>
  </si>
  <si>
    <t>thermal diffusivity aquitard</t>
  </si>
  <si>
    <t>distance for heat flow</t>
  </si>
  <si>
    <t>time for heat flow</t>
  </si>
  <si>
    <t>effektive thicknes SZ</t>
  </si>
  <si>
    <t>max. drawdown</t>
  </si>
  <si>
    <r>
      <t>E</t>
    </r>
    <r>
      <rPr>
        <vertAlign val="subscript"/>
        <sz val="10"/>
        <rFont val="Trebuchet MS"/>
        <family val="2"/>
        <scheme val="minor"/>
      </rPr>
      <t>HEAT</t>
    </r>
  </si>
  <si>
    <r>
      <t>E</t>
    </r>
    <r>
      <rPr>
        <vertAlign val="subscript"/>
        <sz val="10"/>
        <rFont val="Trebuchet MS"/>
        <family val="2"/>
        <scheme val="minor"/>
      </rPr>
      <t>COOL</t>
    </r>
  </si>
  <si>
    <r>
      <t>E</t>
    </r>
    <r>
      <rPr>
        <vertAlign val="subscript"/>
        <sz val="10"/>
        <rFont val="Trebuchet MS"/>
        <family val="2"/>
        <scheme val="minor"/>
      </rPr>
      <t>BAL</t>
    </r>
  </si>
  <si>
    <t>Area influence by peak load</t>
  </si>
  <si>
    <t>m²</t>
  </si>
  <si>
    <t>format</t>
  </si>
  <si>
    <t>given e.g. by public regulations (VDI; OEWAV, province,..)</t>
  </si>
  <si>
    <t>estimation of areal factor - installation density cannot be optimum</t>
  </si>
  <si>
    <t>specific Energy recharge from surface</t>
  </si>
  <si>
    <t>specific Energy content stored in aquifer</t>
  </si>
  <si>
    <t>specific Energy recharge from aquitard</t>
  </si>
  <si>
    <t>kWh/m²/K</t>
  </si>
  <si>
    <t>SZ limited to max. 20m for peak load (as formulas are not valid for thick layers any more)</t>
  </si>
  <si>
    <t>maximum hydraulic drawdown calculated from R or minimum of 1/3 of SZm or 5 m</t>
  </si>
  <si>
    <t>grid, location query</t>
  </si>
  <si>
    <t>specific energy content - heating</t>
  </si>
  <si>
    <t>specific energy content - cooling</t>
  </si>
  <si>
    <t>specific energy content - balanced</t>
  </si>
  <si>
    <r>
      <t>Q</t>
    </r>
    <r>
      <rPr>
        <vertAlign val="subscript"/>
        <sz val="10"/>
        <rFont val="Trebuchet MS"/>
        <family val="2"/>
        <scheme val="minor"/>
      </rPr>
      <t>PEAK,specific</t>
    </r>
  </si>
  <si>
    <t>Auxiliary variables
(NO INPUT needed!!)</t>
  </si>
  <si>
    <r>
      <t>E</t>
    </r>
    <r>
      <rPr>
        <vertAlign val="subscript"/>
        <sz val="10"/>
        <color theme="0" tint="-0.499984740745262"/>
        <rFont val="Trebuchet MS"/>
        <family val="2"/>
        <scheme val="minor"/>
      </rPr>
      <t>storage</t>
    </r>
  </si>
  <si>
    <r>
      <t>E</t>
    </r>
    <r>
      <rPr>
        <vertAlign val="subscript"/>
        <sz val="10"/>
        <color theme="0" tint="-0.499984740745262"/>
        <rFont val="Trebuchet MS"/>
        <family val="2"/>
        <scheme val="minor"/>
      </rPr>
      <t>surface</t>
    </r>
  </si>
  <si>
    <r>
      <t>E</t>
    </r>
    <r>
      <rPr>
        <vertAlign val="subscript"/>
        <sz val="10"/>
        <color theme="0" tint="-0.499984740745262"/>
        <rFont val="Trebuchet MS"/>
        <family val="2"/>
        <scheme val="minor"/>
      </rPr>
      <t>underground</t>
    </r>
  </si>
  <si>
    <r>
      <t>c</t>
    </r>
    <r>
      <rPr>
        <vertAlign val="subscript"/>
        <sz val="10"/>
        <color theme="0" tint="-0.499984740745262"/>
        <rFont val="Trebuchet MS"/>
        <family val="2"/>
        <scheme val="minor"/>
      </rPr>
      <t>vW</t>
    </r>
  </si>
  <si>
    <r>
      <t>SZ</t>
    </r>
    <r>
      <rPr>
        <vertAlign val="subscript"/>
        <sz val="10"/>
        <color theme="0" tint="-0.499984740745262"/>
        <rFont val="Trebuchet MS"/>
        <family val="2"/>
        <scheme val="minor"/>
      </rPr>
      <t>eff</t>
    </r>
  </si>
  <si>
    <r>
      <t>A</t>
    </r>
    <r>
      <rPr>
        <vertAlign val="subscript"/>
        <sz val="10"/>
        <color theme="0" tint="-0.499984740745262"/>
        <rFont val="Trebuchet MS"/>
        <family val="2"/>
        <scheme val="minor"/>
      </rPr>
      <t>PEAK</t>
    </r>
  </si>
  <si>
    <t>aquifer and groundwater properties (fully saturated)</t>
  </si>
  <si>
    <t>operational mode</t>
  </si>
  <si>
    <t>calculation category</t>
  </si>
  <si>
    <t>template for open loop potential calculation</t>
  </si>
  <si>
    <t>variable</t>
  </si>
  <si>
    <t>symbol</t>
  </si>
  <si>
    <t>value</t>
  </si>
  <si>
    <t>unit</t>
  </si>
  <si>
    <t>top layer and aquitard</t>
  </si>
  <si>
    <t>l/d/m²</t>
  </si>
  <si>
    <t>results energy content</t>
  </si>
  <si>
    <r>
      <t>c</t>
    </r>
    <r>
      <rPr>
        <vertAlign val="subscript"/>
        <sz val="10"/>
        <color rgb="FF7030A0"/>
        <rFont val="Trebuchet MS"/>
        <family val="2"/>
        <scheme val="minor"/>
      </rPr>
      <t>vA</t>
    </r>
  </si>
  <si>
    <r>
      <t>ΔT</t>
    </r>
    <r>
      <rPr>
        <b/>
        <vertAlign val="subscript"/>
        <sz val="10"/>
        <color theme="0" tint="-0.499984740745262"/>
        <rFont val="Trebuchet MS"/>
        <family val="2"/>
        <scheme val="minor"/>
      </rPr>
      <t>COOL</t>
    </r>
  </si>
  <si>
    <r>
      <t>ΔT</t>
    </r>
    <r>
      <rPr>
        <b/>
        <vertAlign val="subscript"/>
        <sz val="10"/>
        <color theme="0" tint="-0.499984740745262"/>
        <rFont val="Trebuchet MS"/>
        <family val="2"/>
        <scheme val="minor"/>
      </rPr>
      <t>HEAT</t>
    </r>
  </si>
  <si>
    <r>
      <t>SZ</t>
    </r>
    <r>
      <rPr>
        <vertAlign val="subscript"/>
        <sz val="10"/>
        <color rgb="FF006600"/>
        <rFont val="Trebuchet MS"/>
        <family val="2"/>
        <scheme val="minor"/>
      </rPr>
      <t>m</t>
    </r>
  </si>
  <si>
    <r>
      <t>T</t>
    </r>
    <r>
      <rPr>
        <vertAlign val="subscript"/>
        <sz val="10"/>
        <color rgb="FF006600"/>
        <rFont val="Trebuchet MS"/>
        <family val="2"/>
        <scheme val="minor"/>
      </rPr>
      <t>OBS-LOW</t>
    </r>
  </si>
  <si>
    <r>
      <t>T</t>
    </r>
    <r>
      <rPr>
        <vertAlign val="subscript"/>
        <sz val="10"/>
        <color rgb="FF006600"/>
        <rFont val="Trebuchet MS"/>
        <family val="2"/>
        <scheme val="minor"/>
      </rPr>
      <t>OBS-HIGH</t>
    </r>
  </si>
  <si>
    <r>
      <t>P</t>
    </r>
    <r>
      <rPr>
        <vertAlign val="subscript"/>
        <sz val="10"/>
        <rFont val="Trebuchet MS"/>
        <family val="2"/>
        <scheme val="minor"/>
      </rPr>
      <t>PEAK, specific</t>
    </r>
  </si>
  <si>
    <t>results peak load</t>
  </si>
  <si>
    <t>minimum gw temperature winter</t>
  </si>
  <si>
    <t>maximum gw temperature summer</t>
  </si>
  <si>
    <t xml:space="preserve">hydraulic conductivity </t>
  </si>
  <si>
    <t>volumetric heat capacity of saturated aquifer</t>
  </si>
  <si>
    <t>thermal conductivity aquitard</t>
  </si>
  <si>
    <t>volumetric heat capacity aquitard</t>
  </si>
  <si>
    <r>
      <t>T</t>
    </r>
    <r>
      <rPr>
        <vertAlign val="subscript"/>
        <sz val="10"/>
        <color rgb="FF7030A0"/>
        <rFont val="Trebuchet MS"/>
        <family val="2"/>
        <scheme val="minor"/>
      </rPr>
      <t>LOWBOUND</t>
    </r>
  </si>
  <si>
    <r>
      <t>T</t>
    </r>
    <r>
      <rPr>
        <vertAlign val="subscript"/>
        <sz val="10"/>
        <color rgb="FF7030A0"/>
        <rFont val="Trebuchet MS"/>
        <family val="2"/>
        <scheme val="minor"/>
      </rPr>
      <t>HIGHBOUND</t>
    </r>
  </si>
  <si>
    <t>max. temperature difference between extraction and injection, regulated by authority</t>
  </si>
  <si>
    <t>life time for open loop system, time after aquifer storage is consumed</t>
  </si>
  <si>
    <t>life time</t>
  </si>
  <si>
    <t>dimensionless temperature</t>
  </si>
  <si>
    <t>heat flow from aquitard</t>
  </si>
  <si>
    <t>volumetric heat capacity of water</t>
  </si>
  <si>
    <r>
      <t>Q</t>
    </r>
    <r>
      <rPr>
        <vertAlign val="subscript"/>
        <sz val="10"/>
        <color theme="0" tint="-0.499984740745262"/>
        <rFont val="Trebuchet MS"/>
        <family val="2"/>
        <scheme val="minor"/>
      </rPr>
      <t>PEAK</t>
    </r>
  </si>
  <si>
    <r>
      <t>P</t>
    </r>
    <r>
      <rPr>
        <vertAlign val="subscript"/>
        <sz val="10"/>
        <color theme="0" tint="-0.499984740745262"/>
        <rFont val="Trebuchet MS"/>
        <family val="2"/>
        <scheme val="minor"/>
      </rPr>
      <t>PEAK</t>
    </r>
  </si>
  <si>
    <t>minimum observed mean gw temperature in summer</t>
  </si>
  <si>
    <t>minimum observed mean gw temperature in winter</t>
  </si>
  <si>
    <t>GWD</t>
  </si>
  <si>
    <t>thermal conductivity overburden (partially saturated zone)</t>
  </si>
  <si>
    <r>
      <t>ΔT</t>
    </r>
    <r>
      <rPr>
        <b/>
        <vertAlign val="subscript"/>
        <sz val="10"/>
        <color theme="0" tint="-0.499984740745262"/>
        <rFont val="Trebuchet MS"/>
        <family val="2"/>
        <scheme val="minor"/>
      </rPr>
      <t>BAL</t>
    </r>
  </si>
  <si>
    <t>regulations</t>
  </si>
  <si>
    <r>
      <t>λ</t>
    </r>
    <r>
      <rPr>
        <vertAlign val="subscript"/>
        <sz val="10"/>
        <color rgb="FF7030A0"/>
        <rFont val="Trebuchet MS"/>
        <family val="2"/>
        <scheme val="minor"/>
      </rPr>
      <t>OB</t>
    </r>
  </si>
  <si>
    <r>
      <t>λ</t>
    </r>
    <r>
      <rPr>
        <vertAlign val="subscript"/>
        <sz val="10"/>
        <color rgb="FF7030A0"/>
        <rFont val="Trebuchet MS"/>
        <family val="2"/>
        <scheme val="minor"/>
      </rPr>
      <t>Bott</t>
    </r>
  </si>
  <si>
    <r>
      <t>c</t>
    </r>
    <r>
      <rPr>
        <vertAlign val="subscript"/>
        <sz val="10"/>
        <color rgb="FF7030A0"/>
        <rFont val="Trebuchet MS"/>
        <family val="2"/>
        <scheme val="minor"/>
      </rPr>
      <t>vB</t>
    </r>
  </si>
  <si>
    <t>balanced / unbalanced factor</t>
  </si>
  <si>
    <r>
      <t xml:space="preserve">purple values are default values and are not needed to be changed
</t>
    </r>
    <r>
      <rPr>
        <sz val="10"/>
        <color rgb="FF006600"/>
        <rFont val="Trebuchet MS"/>
        <family val="2"/>
        <scheme val="minor"/>
      </rPr>
      <t>green values are spatial distributed and has to be adapted in every grid cell or PA</t>
    </r>
  </si>
  <si>
    <t>Groundwater level depth</t>
  </si>
  <si>
    <t>depth from surface to groundwater level</t>
  </si>
  <si>
    <t>Peak load per peak area</t>
  </si>
  <si>
    <t>area needed for one well doublet with R</t>
  </si>
  <si>
    <t>cannot be smaller than recharge from bottom or larger than storage</t>
  </si>
  <si>
    <t>estimated specific power at peak load</t>
  </si>
  <si>
    <t>h/yr</t>
  </si>
  <si>
    <t>W/m²</t>
  </si>
  <si>
    <t>hydraulic productivity at peak load</t>
  </si>
  <si>
    <t>X</t>
  </si>
  <si>
    <t>Y</t>
  </si>
  <si>
    <t>SZ</t>
  </si>
  <si>
    <t>GW-temp-min</t>
  </si>
  <si>
    <t>GW-temp-max</t>
  </si>
  <si>
    <t>maximum hydraulic radius set to 150 m</t>
  </si>
  <si>
    <t>EHEAT</t>
  </si>
  <si>
    <t>ECOOL</t>
  </si>
  <si>
    <t>EBAL</t>
  </si>
  <si>
    <t>QPEAK,specific</t>
  </si>
  <si>
    <t>PPEAK, specific</t>
  </si>
  <si>
    <t>alpha</t>
  </si>
  <si>
    <t>x</t>
  </si>
  <si>
    <t>t</t>
  </si>
  <si>
    <t>theta</t>
  </si>
  <si>
    <t>flux</t>
  </si>
  <si>
    <t>default value</t>
  </si>
  <si>
    <t>please export togehter with X and Y for inport in ArcMAP</t>
  </si>
  <si>
    <t>please do not change this colums</t>
  </si>
  <si>
    <t>Please enter your grid information here below</t>
  </si>
  <si>
    <t>GWD_gw_depth</t>
  </si>
  <si>
    <t>SZ_gw_thickness</t>
  </si>
  <si>
    <t>kf_hydcond</t>
  </si>
  <si>
    <t>gw_temp_obs_min</t>
  </si>
  <si>
    <t>gw_temp_obs_max</t>
  </si>
  <si>
    <t>A</t>
  </si>
  <si>
    <t>GWh</t>
  </si>
  <si>
    <t>m³/s</t>
  </si>
  <si>
    <t>MW</t>
  </si>
  <si>
    <t>TOTAL PILOT AREA</t>
  </si>
  <si>
    <t>last row</t>
  </si>
  <si>
    <t>grid spacing</t>
  </si>
  <si>
    <t>Total area</t>
  </si>
  <si>
    <t>km²</t>
  </si>
  <si>
    <t>D.T2.3.2 Open loop workflow v2.1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</si>
</sst>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E+00"/>
  </numFmts>
  <fonts count="27" x14ac:knownFonts="1">
    <font>
      <sz val="11"/>
      <color theme="1"/>
      <name val="Arial"/>
      <family val="2"/>
    </font>
    <font>
      <sz val="11"/>
      <color theme="1"/>
      <name val="Trebuchet MS"/>
      <family val="2"/>
    </font>
    <font>
      <sz val="10"/>
      <color theme="1"/>
      <name val="Trebuchet MS"/>
      <family val="2"/>
    </font>
    <font>
      <b/>
      <sz val="18"/>
      <color theme="0"/>
      <name val="Trebuchet MS"/>
      <family val="2"/>
      <scheme val="minor"/>
    </font>
    <font>
      <b/>
      <sz val="14"/>
      <color theme="0"/>
      <name val="Trebuchet MS"/>
      <family val="2"/>
      <scheme val="minor"/>
    </font>
    <font>
      <b/>
      <sz val="12"/>
      <color theme="0"/>
      <name val="Trebuchet MS"/>
      <family val="2"/>
      <scheme val="minor"/>
    </font>
    <font>
      <b/>
      <sz val="10"/>
      <color theme="0"/>
      <name val="Trebuchet MS"/>
      <family val="2"/>
      <scheme val="minor"/>
    </font>
    <font>
      <b/>
      <sz val="18"/>
      <color theme="2"/>
      <name val="Trebuchet MS"/>
      <family val="2"/>
      <scheme val="minor"/>
    </font>
    <font>
      <b/>
      <sz val="14"/>
      <color theme="4"/>
      <name val="Trebuchet MS"/>
      <family val="2"/>
      <scheme val="minor"/>
    </font>
    <font>
      <b/>
      <sz val="10"/>
      <color theme="4"/>
      <name val="Trebuchet MS"/>
      <family val="2"/>
      <scheme val="minor"/>
    </font>
    <font>
      <sz val="11"/>
      <color rgb="FF00B050"/>
      <name val="Trebuchet MS"/>
      <family val="2"/>
      <scheme val="minor"/>
    </font>
    <font>
      <i/>
      <sz val="10"/>
      <color theme="1"/>
      <name val="Trebuchet MS"/>
      <family val="2"/>
    </font>
    <font>
      <i/>
      <sz val="8.5"/>
      <color theme="8"/>
      <name val="Trebuchet MS"/>
      <family val="2"/>
    </font>
    <font>
      <b/>
      <sz val="12"/>
      <color theme="2"/>
      <name val="Trebuchet MS"/>
      <family val="2"/>
      <scheme val="minor"/>
    </font>
    <font>
      <b/>
      <sz val="16"/>
      <color theme="2"/>
      <name val="Trebuchet MS"/>
      <family val="2"/>
      <scheme val="minor"/>
    </font>
    <font>
      <sz val="10"/>
      <name val="Trebuchet MS"/>
      <family val="2"/>
      <scheme val="minor"/>
    </font>
    <font>
      <sz val="10"/>
      <color theme="1"/>
      <name val="Trebuchet MS"/>
      <family val="2"/>
      <scheme val="minor"/>
    </font>
    <font>
      <vertAlign val="subscript"/>
      <sz val="10"/>
      <name val="Trebuchet MS"/>
      <family val="2"/>
      <scheme val="minor"/>
    </font>
    <font>
      <sz val="10"/>
      <color theme="0" tint="-0.499984740745262"/>
      <name val="Trebuchet MS"/>
      <family val="2"/>
      <scheme val="minor"/>
    </font>
    <font>
      <b/>
      <sz val="10"/>
      <color theme="0" tint="-0.499984740745262"/>
      <name val="Trebuchet MS"/>
      <family val="2"/>
      <scheme val="minor"/>
    </font>
    <font>
      <vertAlign val="subscript"/>
      <sz val="10"/>
      <color theme="0" tint="-0.499984740745262"/>
      <name val="Trebuchet MS"/>
      <family val="2"/>
      <scheme val="minor"/>
    </font>
    <font>
      <sz val="10"/>
      <color rgb="FF7030A0"/>
      <name val="Trebuchet MS"/>
      <family val="2"/>
      <scheme val="minor"/>
    </font>
    <font>
      <vertAlign val="subscript"/>
      <sz val="10"/>
      <color rgb="FF7030A0"/>
      <name val="Trebuchet MS"/>
      <family val="2"/>
      <scheme val="minor"/>
    </font>
    <font>
      <b/>
      <vertAlign val="subscript"/>
      <sz val="10"/>
      <color theme="0" tint="-0.499984740745262"/>
      <name val="Trebuchet MS"/>
      <family val="2"/>
      <scheme val="minor"/>
    </font>
    <font>
      <sz val="10"/>
      <color rgb="FF006600"/>
      <name val="Trebuchet MS"/>
      <family val="2"/>
      <scheme val="minor"/>
    </font>
    <font>
      <vertAlign val="subscript"/>
      <sz val="10"/>
      <color rgb="FF006600"/>
      <name val="Trebuchet MS"/>
      <family val="2"/>
      <scheme val="minor"/>
    </font>
    <font>
      <sz val="10"/>
      <color theme="0" tint="-0.249977111117893"/>
      <name val="Trebuchet MS"/>
      <family val="2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2"/>
        <bgColor theme="2"/>
      </patternFill>
    </fill>
    <fill>
      <patternFill patternType="solid">
        <fgColor theme="4"/>
        <bgColor theme="4"/>
      </patternFill>
    </fill>
    <fill>
      <patternFill patternType="solid">
        <fgColor rgb="FFC6EFCE"/>
      </patternFill>
    </fill>
    <fill>
      <patternFill patternType="solid">
        <fgColor theme="6"/>
        <bgColor theme="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/>
        <bgColor indexed="64"/>
      </patternFill>
    </fill>
  </fills>
  <borders count="3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3743705557422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 style="thin">
        <color theme="0" tint="-4.9989318521683403E-2"/>
      </right>
      <top style="thin">
        <color theme="0"/>
      </top>
      <bottom style="thin">
        <color theme="0"/>
      </bottom>
      <diagonal/>
    </border>
    <border>
      <left style="thin">
        <color theme="0" tint="-4.9989318521683403E-2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 tint="-4.9989318521683403E-2"/>
      </left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 tint="-4.9989318521683403E-2"/>
      </right>
      <top/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theme="0" tint="-4.9989318521683403E-2"/>
      </right>
      <top style="thin">
        <color indexed="64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indexed="64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indexed="64"/>
      </right>
      <top style="thin">
        <color indexed="64"/>
      </top>
      <bottom style="thin">
        <color theme="0" tint="-4.9989318521683403E-2"/>
      </bottom>
      <diagonal/>
    </border>
    <border>
      <left style="thin">
        <color indexed="64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theme="0" tint="-0.14993743705557422"/>
      </right>
      <top/>
      <bottom style="thin">
        <color theme="0" tint="-0.14993743705557422"/>
      </bottom>
      <diagonal/>
    </border>
    <border>
      <left style="thin">
        <color indexed="64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indexed="64"/>
      </left>
      <right style="thin">
        <color theme="0" tint="-4.9989318521683403E-2"/>
      </right>
      <top/>
      <bottom style="double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5">
    <xf numFmtId="0" fontId="0" fillId="0" borderId="0"/>
    <xf numFmtId="0" fontId="2" fillId="0" borderId="0">
      <alignment wrapText="1"/>
    </xf>
    <xf numFmtId="0" fontId="3" fillId="2" borderId="1" applyBorder="0" applyAlignment="0">
      <alignment horizontal="center" vertical="center"/>
    </xf>
    <xf numFmtId="0" fontId="4" fillId="3" borderId="1" applyAlignment="0">
      <alignment horizontal="center" vertical="center"/>
    </xf>
    <xf numFmtId="0" fontId="5" fillId="3" borderId="1" applyAlignment="0">
      <alignment horizontal="center" vertical="center"/>
    </xf>
    <xf numFmtId="0" fontId="6" fillId="2" borderId="1">
      <alignment horizontal="center" vertical="center"/>
    </xf>
    <xf numFmtId="0" fontId="7" fillId="0" borderId="0">
      <alignment wrapText="1"/>
    </xf>
    <xf numFmtId="0" fontId="8" fillId="0" borderId="0">
      <alignment wrapText="1"/>
    </xf>
    <xf numFmtId="0" fontId="13" fillId="0" borderId="0">
      <alignment wrapText="1"/>
    </xf>
    <xf numFmtId="0" fontId="9" fillId="0" borderId="0">
      <alignment wrapText="1"/>
    </xf>
    <xf numFmtId="0" fontId="10" fillId="4" borderId="0" applyNumberFormat="0" applyBorder="0" applyAlignment="0" applyProtection="0"/>
    <xf numFmtId="0" fontId="2" fillId="5" borderId="0">
      <alignment wrapText="1"/>
    </xf>
    <xf numFmtId="0" fontId="11" fillId="0" borderId="0">
      <alignment wrapText="1"/>
    </xf>
    <xf numFmtId="0" fontId="12" fillId="0" borderId="0">
      <alignment wrapText="1"/>
    </xf>
    <xf numFmtId="0" fontId="14" fillId="0" borderId="0">
      <alignment wrapText="1"/>
    </xf>
  </cellStyleXfs>
  <cellXfs count="16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4" fillId="0" borderId="0" xfId="14">
      <alignment wrapText="1"/>
    </xf>
    <xf numFmtId="0" fontId="7" fillId="0" borderId="0" xfId="6" applyAlignment="1">
      <alignment wrapText="1"/>
    </xf>
    <xf numFmtId="0" fontId="6" fillId="2" borderId="1" xfId="5" applyFont="1">
      <alignment horizontal="center" vertical="center"/>
    </xf>
    <xf numFmtId="0" fontId="16" fillId="8" borderId="0" xfId="1" applyFont="1" applyFill="1" applyProtection="1">
      <alignment wrapText="1"/>
    </xf>
    <xf numFmtId="0" fontId="16" fillId="8" borderId="0" xfId="0" applyFont="1" applyFill="1"/>
    <xf numFmtId="0" fontId="15" fillId="0" borderId="0" xfId="0" applyFont="1" applyBorder="1"/>
    <xf numFmtId="0" fontId="15" fillId="0" borderId="0" xfId="1" applyFont="1" applyBorder="1" applyProtection="1">
      <alignment wrapText="1"/>
    </xf>
    <xf numFmtId="0" fontId="16" fillId="0" borderId="0" xfId="1" applyFont="1" applyBorder="1" applyProtection="1">
      <alignment wrapText="1"/>
    </xf>
    <xf numFmtId="0" fontId="16" fillId="0" borderId="0" xfId="0" applyFont="1"/>
    <xf numFmtId="0" fontId="16" fillId="7" borderId="0" xfId="0" applyFont="1" applyFill="1"/>
    <xf numFmtId="0" fontId="16" fillId="9" borderId="0" xfId="0" applyFont="1" applyFill="1"/>
    <xf numFmtId="0" fontId="16" fillId="10" borderId="0" xfId="0" applyFont="1" applyFill="1"/>
    <xf numFmtId="0" fontId="16" fillId="10" borderId="0" xfId="1" applyFont="1" applyFill="1" applyProtection="1">
      <alignment wrapText="1"/>
    </xf>
    <xf numFmtId="0" fontId="16" fillId="11" borderId="0" xfId="0" applyFont="1" applyFill="1"/>
    <xf numFmtId="0" fontId="16" fillId="12" borderId="0" xfId="0" applyFont="1" applyFill="1"/>
    <xf numFmtId="0" fontId="16" fillId="12" borderId="0" xfId="1" applyFont="1" applyFill="1" applyProtection="1">
      <alignment wrapText="1"/>
    </xf>
    <xf numFmtId="0" fontId="6" fillId="2" borderId="4" xfId="5" applyFont="1" applyBorder="1" applyProtection="1">
      <alignment horizontal="center" vertical="center"/>
    </xf>
    <xf numFmtId="0" fontId="6" fillId="2" borderId="5" xfId="5" applyFont="1" applyBorder="1" applyProtection="1">
      <alignment horizontal="center" vertical="center"/>
    </xf>
    <xf numFmtId="0" fontId="6" fillId="2" borderId="5" xfId="5" applyFont="1" applyBorder="1" applyAlignment="1" applyProtection="1">
      <alignment horizontal="center" vertical="center" wrapText="1"/>
    </xf>
    <xf numFmtId="0" fontId="16" fillId="12" borderId="5" xfId="1" applyFont="1" applyFill="1" applyBorder="1" applyProtection="1">
      <alignment wrapText="1"/>
    </xf>
    <xf numFmtId="0" fontId="16" fillId="8" borderId="5" xfId="1" applyFont="1" applyFill="1" applyBorder="1" applyProtection="1">
      <alignment wrapText="1"/>
    </xf>
    <xf numFmtId="0" fontId="16" fillId="10" borderId="5" xfId="0" applyFont="1" applyFill="1" applyBorder="1"/>
    <xf numFmtId="0" fontId="15" fillId="13" borderId="5" xfId="0" applyFont="1" applyFill="1" applyBorder="1"/>
    <xf numFmtId="164" fontId="15" fillId="13" borderId="5" xfId="0" applyNumberFormat="1" applyFont="1" applyFill="1" applyBorder="1" applyAlignment="1">
      <alignment wrapText="1"/>
    </xf>
    <xf numFmtId="0" fontId="15" fillId="13" borderId="5" xfId="0" applyFont="1" applyFill="1" applyBorder="1" applyAlignment="1">
      <alignment wrapText="1"/>
    </xf>
    <xf numFmtId="164" fontId="16" fillId="13" borderId="5" xfId="0" applyNumberFormat="1" applyFont="1" applyFill="1" applyBorder="1" applyAlignment="1">
      <alignment wrapText="1"/>
    </xf>
    <xf numFmtId="0" fontId="16" fillId="11" borderId="5" xfId="1" applyFont="1" applyFill="1" applyBorder="1" applyProtection="1">
      <alignment wrapText="1"/>
    </xf>
    <xf numFmtId="0" fontId="16" fillId="10" borderId="5" xfId="1" applyFont="1" applyFill="1" applyBorder="1" applyProtection="1">
      <alignment wrapText="1"/>
    </xf>
    <xf numFmtId="0" fontId="16" fillId="9" borderId="5" xfId="1" applyFont="1" applyFill="1" applyBorder="1" applyProtection="1">
      <alignment wrapText="1"/>
    </xf>
    <xf numFmtId="0" fontId="16" fillId="9" borderId="0" xfId="1" applyFont="1" applyFill="1" applyProtection="1">
      <alignment wrapText="1"/>
    </xf>
    <xf numFmtId="164" fontId="16" fillId="10" borderId="0" xfId="1" applyNumberFormat="1" applyFont="1" applyFill="1" applyBorder="1" applyAlignment="1" applyProtection="1">
      <alignment vertical="top" wrapText="1"/>
    </xf>
    <xf numFmtId="0" fontId="18" fillId="6" borderId="3" xfId="1" applyFont="1" applyFill="1" applyBorder="1" applyProtection="1">
      <alignment wrapText="1"/>
    </xf>
    <xf numFmtId="0" fontId="18" fillId="6" borderId="3" xfId="0" applyFont="1" applyFill="1" applyBorder="1"/>
    <xf numFmtId="11" fontId="18" fillId="6" borderId="3" xfId="1" applyNumberFormat="1" applyFont="1" applyFill="1" applyBorder="1" applyProtection="1">
      <alignment wrapText="1"/>
    </xf>
    <xf numFmtId="0" fontId="18" fillId="6" borderId="0" xfId="1" applyFont="1" applyFill="1" applyBorder="1" applyProtection="1">
      <alignment wrapText="1"/>
    </xf>
    <xf numFmtId="0" fontId="18" fillId="6" borderId="2" xfId="1" applyFont="1" applyFill="1" applyBorder="1" applyProtection="1">
      <alignment wrapText="1"/>
    </xf>
    <xf numFmtId="0" fontId="18" fillId="6" borderId="2" xfId="0" applyFont="1" applyFill="1" applyBorder="1"/>
    <xf numFmtId="0" fontId="18" fillId="6" borderId="2" xfId="0" applyFont="1" applyFill="1" applyBorder="1" applyProtection="1"/>
    <xf numFmtId="165" fontId="18" fillId="6" borderId="2" xfId="1" applyNumberFormat="1" applyFont="1" applyFill="1" applyBorder="1" applyProtection="1">
      <alignment wrapText="1"/>
    </xf>
    <xf numFmtId="0" fontId="18" fillId="6" borderId="0" xfId="0" applyFont="1" applyFill="1"/>
    <xf numFmtId="0" fontId="19" fillId="6" borderId="0" xfId="1" applyFont="1" applyFill="1" applyBorder="1" applyProtection="1">
      <alignment wrapText="1"/>
    </xf>
    <xf numFmtId="164" fontId="18" fillId="6" borderId="2" xfId="1" applyNumberFormat="1" applyFont="1" applyFill="1" applyBorder="1" applyProtection="1">
      <alignment wrapText="1"/>
    </xf>
    <xf numFmtId="0" fontId="18" fillId="6" borderId="0" xfId="0" applyFont="1" applyFill="1" applyBorder="1"/>
    <xf numFmtId="164" fontId="18" fillId="6" borderId="0" xfId="0" applyNumberFormat="1" applyFont="1" applyFill="1"/>
    <xf numFmtId="1" fontId="18" fillId="6" borderId="0" xfId="0" applyNumberFormat="1" applyFont="1" applyFill="1"/>
    <xf numFmtId="0" fontId="18" fillId="6" borderId="5" xfId="0" applyFont="1" applyFill="1" applyBorder="1"/>
    <xf numFmtId="1" fontId="18" fillId="6" borderId="5" xfId="0" applyNumberFormat="1" applyFont="1" applyFill="1" applyBorder="1" applyAlignment="1">
      <alignment wrapText="1"/>
    </xf>
    <xf numFmtId="0" fontId="18" fillId="6" borderId="5" xfId="0" applyFont="1" applyFill="1" applyBorder="1" applyAlignment="1">
      <alignment wrapText="1"/>
    </xf>
    <xf numFmtId="164" fontId="18" fillId="6" borderId="5" xfId="0" applyNumberFormat="1" applyFont="1" applyFill="1" applyBorder="1" applyAlignment="1">
      <alignment wrapText="1"/>
    </xf>
    <xf numFmtId="0" fontId="21" fillId="9" borderId="5" xfId="1" applyFont="1" applyFill="1" applyBorder="1" applyProtection="1">
      <alignment wrapText="1"/>
    </xf>
    <xf numFmtId="0" fontId="21" fillId="9" borderId="5" xfId="0" applyFont="1" applyFill="1" applyBorder="1"/>
    <xf numFmtId="0" fontId="21" fillId="12" borderId="5" xfId="1" applyFont="1" applyFill="1" applyBorder="1" applyProtection="1">
      <alignment wrapText="1"/>
    </xf>
    <xf numFmtId="0" fontId="21" fillId="10" borderId="5" xfId="1" applyFont="1" applyFill="1" applyBorder="1" applyProtection="1">
      <alignment wrapText="1"/>
    </xf>
    <xf numFmtId="0" fontId="19" fillId="6" borderId="0" xfId="0" applyFont="1" applyFill="1"/>
    <xf numFmtId="0" fontId="19" fillId="6" borderId="2" xfId="1" applyFont="1" applyFill="1" applyBorder="1" applyProtection="1">
      <alignment wrapText="1"/>
    </xf>
    <xf numFmtId="0" fontId="24" fillId="10" borderId="5" xfId="1" applyFont="1" applyFill="1" applyBorder="1" applyProtection="1">
      <alignment wrapText="1"/>
    </xf>
    <xf numFmtId="11" fontId="24" fillId="10" borderId="5" xfId="1" applyNumberFormat="1" applyFont="1" applyFill="1" applyBorder="1" applyProtection="1">
      <alignment wrapText="1"/>
    </xf>
    <xf numFmtId="0" fontId="15" fillId="7" borderId="9" xfId="0" applyFont="1" applyFill="1" applyBorder="1"/>
    <xf numFmtId="0" fontId="15" fillId="13" borderId="6" xfId="0" applyFont="1" applyFill="1" applyBorder="1"/>
    <xf numFmtId="164" fontId="15" fillId="13" borderId="6" xfId="0" applyNumberFormat="1" applyFont="1" applyFill="1" applyBorder="1" applyAlignment="1">
      <alignment wrapText="1"/>
    </xf>
    <xf numFmtId="0" fontId="15" fillId="13" borderId="6" xfId="0" applyFont="1" applyFill="1" applyBorder="1" applyAlignment="1">
      <alignment wrapText="1"/>
    </xf>
    <xf numFmtId="164" fontId="16" fillId="13" borderId="6" xfId="0" applyNumberFormat="1" applyFont="1" applyFill="1" applyBorder="1" applyAlignment="1">
      <alignment wrapText="1"/>
    </xf>
    <xf numFmtId="0" fontId="15" fillId="7" borderId="10" xfId="0" applyFont="1" applyFill="1" applyBorder="1"/>
    <xf numFmtId="1" fontId="16" fillId="7" borderId="11" xfId="0" applyNumberFormat="1" applyFont="1" applyFill="1" applyBorder="1" applyAlignment="1">
      <alignment wrapText="1"/>
    </xf>
    <xf numFmtId="164" fontId="16" fillId="7" borderId="12" xfId="0" applyNumberFormat="1" applyFont="1" applyFill="1" applyBorder="1" applyAlignment="1">
      <alignment wrapText="1"/>
    </xf>
    <xf numFmtId="0" fontId="18" fillId="6" borderId="0" xfId="0" applyFont="1" applyFill="1" applyBorder="1" applyAlignment="1">
      <alignment horizontal="center" vertical="center" wrapText="1"/>
    </xf>
    <xf numFmtId="0" fontId="15" fillId="7" borderId="13" xfId="0" applyFont="1" applyFill="1" applyBorder="1"/>
    <xf numFmtId="164" fontId="16" fillId="7" borderId="0" xfId="0" applyNumberFormat="1" applyFont="1" applyFill="1" applyBorder="1"/>
    <xf numFmtId="0" fontId="16" fillId="7" borderId="14" xfId="0" applyFont="1" applyFill="1" applyBorder="1"/>
    <xf numFmtId="0" fontId="16" fillId="11" borderId="0" xfId="1" applyFont="1" applyFill="1" applyAlignment="1" applyProtection="1">
      <alignment horizontal="left" wrapText="1"/>
    </xf>
    <xf numFmtId="0" fontId="21" fillId="11" borderId="5" xfId="1" applyFont="1" applyFill="1" applyBorder="1" applyProtection="1">
      <alignment wrapText="1"/>
    </xf>
    <xf numFmtId="0" fontId="21" fillId="11" borderId="5" xfId="1" applyFont="1" applyFill="1" applyBorder="1" applyAlignment="1" applyProtection="1">
      <alignment vertical="center" wrapText="1"/>
    </xf>
    <xf numFmtId="0" fontId="21" fillId="8" borderId="5" xfId="1" applyFont="1" applyFill="1" applyBorder="1" applyProtection="1">
      <alignment wrapText="1"/>
    </xf>
    <xf numFmtId="0" fontId="18" fillId="6" borderId="0" xfId="0" applyFont="1" applyFill="1" applyBorder="1" applyAlignment="1">
      <alignment wrapText="1"/>
    </xf>
    <xf numFmtId="164" fontId="18" fillId="6" borderId="0" xfId="0" applyNumberFormat="1" applyFont="1" applyFill="1" applyBorder="1" applyAlignment="1">
      <alignment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Fill="1" applyBorder="1"/>
    <xf numFmtId="164" fontId="16" fillId="0" borderId="0" xfId="0" applyNumberFormat="1" applyFont="1" applyFill="1" applyBorder="1" applyAlignment="1">
      <alignment wrapText="1"/>
    </xf>
    <xf numFmtId="0" fontId="16" fillId="0" borderId="0" xfId="0" applyFont="1" applyFill="1"/>
    <xf numFmtId="1" fontId="16" fillId="0" borderId="0" xfId="0" applyNumberFormat="1" applyFont="1" applyFill="1" applyBorder="1" applyAlignment="1">
      <alignment vertical="top"/>
    </xf>
    <xf numFmtId="0" fontId="16" fillId="0" borderId="0" xfId="0" applyFont="1" applyFill="1" applyBorder="1" applyAlignment="1">
      <alignment vertical="top"/>
    </xf>
    <xf numFmtId="0" fontId="6" fillId="0" borderId="1" xfId="5" applyFont="1" applyFill="1">
      <alignment horizontal="center" vertical="center"/>
    </xf>
    <xf numFmtId="0" fontId="21" fillId="16" borderId="5" xfId="1" applyFont="1" applyFill="1" applyBorder="1" applyProtection="1">
      <alignment wrapText="1"/>
    </xf>
    <xf numFmtId="0" fontId="15" fillId="13" borderId="8" xfId="0" applyFont="1" applyFill="1" applyBorder="1"/>
    <xf numFmtId="0" fontId="15" fillId="13" borderId="7" xfId="0" applyFont="1" applyFill="1" applyBorder="1"/>
    <xf numFmtId="0" fontId="15" fillId="7" borderId="16" xfId="0" applyFont="1" applyFill="1" applyBorder="1"/>
    <xf numFmtId="0" fontId="15" fillId="7" borderId="17" xfId="0" applyFont="1" applyFill="1" applyBorder="1"/>
    <xf numFmtId="0" fontId="18" fillId="6" borderId="8" xfId="0" applyFont="1" applyFill="1" applyBorder="1"/>
    <xf numFmtId="0" fontId="16" fillId="0" borderId="18" xfId="0" applyFont="1" applyFill="1" applyBorder="1"/>
    <xf numFmtId="0" fontId="16" fillId="0" borderId="0" xfId="0" applyFont="1" applyFill="1" applyBorder="1"/>
    <xf numFmtId="164" fontId="16" fillId="0" borderId="0" xfId="0" applyNumberFormat="1" applyFont="1"/>
    <xf numFmtId="11" fontId="16" fillId="0" borderId="0" xfId="0" applyNumberFormat="1" applyFont="1"/>
    <xf numFmtId="2" fontId="16" fillId="0" borderId="0" xfId="0" applyNumberFormat="1" applyFont="1"/>
    <xf numFmtId="1" fontId="16" fillId="0" borderId="0" xfId="0" applyNumberFormat="1" applyFont="1"/>
    <xf numFmtId="0" fontId="15" fillId="15" borderId="0" xfId="0" applyFont="1" applyFill="1" applyAlignment="1">
      <alignment horizontal="right"/>
    </xf>
    <xf numFmtId="0" fontId="6" fillId="14" borderId="19" xfId="5" applyFont="1" applyFill="1" applyBorder="1" applyProtection="1">
      <alignment horizontal="center" vertical="center"/>
    </xf>
    <xf numFmtId="0" fontId="6" fillId="14" borderId="20" xfId="5" applyFont="1" applyFill="1" applyBorder="1" applyProtection="1">
      <alignment horizontal="center" vertical="center"/>
    </xf>
    <xf numFmtId="0" fontId="6" fillId="14" borderId="21" xfId="5" applyFont="1" applyFill="1" applyBorder="1" applyProtection="1">
      <alignment horizontal="center" vertical="center"/>
    </xf>
    <xf numFmtId="0" fontId="21" fillId="16" borderId="22" xfId="0" applyFont="1" applyFill="1" applyBorder="1"/>
    <xf numFmtId="0" fontId="21" fillId="16" borderId="22" xfId="1" applyFont="1" applyFill="1" applyBorder="1" applyProtection="1">
      <alignment wrapText="1"/>
    </xf>
    <xf numFmtId="0" fontId="21" fillId="16" borderId="22" xfId="1" applyFont="1" applyFill="1" applyBorder="1" applyAlignment="1" applyProtection="1">
      <alignment vertical="center" wrapText="1"/>
    </xf>
    <xf numFmtId="0" fontId="6" fillId="0" borderId="4" xfId="5" applyFont="1" applyFill="1" applyBorder="1">
      <alignment horizontal="center" vertical="center"/>
    </xf>
    <xf numFmtId="0" fontId="18" fillId="6" borderId="24" xfId="0" applyFont="1" applyFill="1" applyBorder="1"/>
    <xf numFmtId="0" fontId="18" fillId="6" borderId="25" xfId="0" applyFont="1" applyFill="1" applyBorder="1"/>
    <xf numFmtId="0" fontId="18" fillId="6" borderId="25" xfId="0" applyFont="1" applyFill="1" applyBorder="1" applyProtection="1"/>
    <xf numFmtId="0" fontId="18" fillId="6" borderId="26" xfId="0" applyFont="1" applyFill="1" applyBorder="1"/>
    <xf numFmtId="0" fontId="16" fillId="0" borderId="27" xfId="0" applyFont="1" applyFill="1" applyBorder="1"/>
    <xf numFmtId="0" fontId="26" fillId="0" borderId="23" xfId="0" applyFont="1" applyFill="1" applyBorder="1" applyAlignment="1">
      <alignment horizontal="center"/>
    </xf>
    <xf numFmtId="0" fontId="26" fillId="0" borderId="27" xfId="0" applyFont="1" applyFill="1" applyBorder="1" applyAlignment="1">
      <alignment horizontal="center"/>
    </xf>
    <xf numFmtId="0" fontId="26" fillId="0" borderId="23" xfId="0" applyFont="1" applyFill="1" applyBorder="1"/>
    <xf numFmtId="166" fontId="0" fillId="0" borderId="0" xfId="0" applyNumberFormat="1"/>
    <xf numFmtId="0" fontId="15" fillId="13" borderId="8" xfId="0" applyFont="1" applyFill="1" applyBorder="1" applyAlignment="1">
      <alignment horizontal="right"/>
    </xf>
    <xf numFmtId="0" fontId="15" fillId="13" borderId="7" xfId="0" applyFont="1" applyFill="1" applyBorder="1" applyAlignment="1">
      <alignment horizontal="right"/>
    </xf>
    <xf numFmtId="0" fontId="15" fillId="7" borderId="17" xfId="0" applyFont="1" applyFill="1" applyBorder="1" applyAlignment="1">
      <alignment horizontal="right"/>
    </xf>
    <xf numFmtId="1" fontId="16" fillId="0" borderId="0" xfId="0" applyNumberFormat="1" applyFont="1" applyFill="1" applyAlignment="1">
      <alignment horizontal="right"/>
    </xf>
    <xf numFmtId="1" fontId="21" fillId="0" borderId="0" xfId="0" applyNumberFormat="1" applyFont="1" applyFill="1" applyAlignment="1">
      <alignment horizontal="right"/>
    </xf>
    <xf numFmtId="0" fontId="18" fillId="13" borderId="8" xfId="0" applyFont="1" applyFill="1" applyBorder="1" applyAlignment="1">
      <alignment horizontal="right"/>
    </xf>
    <xf numFmtId="1" fontId="18" fillId="0" borderId="0" xfId="0" applyNumberFormat="1" applyFont="1" applyFill="1" applyAlignment="1">
      <alignment horizontal="right"/>
    </xf>
    <xf numFmtId="0" fontId="21" fillId="16" borderId="0" xfId="1" applyFont="1" applyFill="1" applyBorder="1" applyProtection="1">
      <alignment wrapText="1"/>
    </xf>
    <xf numFmtId="0" fontId="16" fillId="0" borderId="0" xfId="1" applyFont="1" applyFill="1" applyBorder="1" applyProtection="1">
      <alignment wrapText="1"/>
    </xf>
    <xf numFmtId="0" fontId="21" fillId="16" borderId="28" xfId="1" applyFont="1" applyFill="1" applyBorder="1" applyProtection="1">
      <alignment wrapText="1"/>
    </xf>
    <xf numFmtId="0" fontId="21" fillId="16" borderId="6" xfId="1" applyFont="1" applyFill="1" applyBorder="1" applyProtection="1">
      <alignment wrapText="1"/>
    </xf>
    <xf numFmtId="0" fontId="18" fillId="6" borderId="28" xfId="0" applyFont="1" applyFill="1" applyBorder="1"/>
    <xf numFmtId="1" fontId="18" fillId="6" borderId="6" xfId="0" applyNumberFormat="1" applyFont="1" applyFill="1" applyBorder="1" applyAlignment="1">
      <alignment wrapText="1"/>
    </xf>
    <xf numFmtId="0" fontId="18" fillId="6" borderId="6" xfId="0" applyFont="1" applyFill="1" applyBorder="1" applyAlignment="1">
      <alignment wrapText="1"/>
    </xf>
    <xf numFmtId="0" fontId="21" fillId="16" borderId="29" xfId="1" applyFont="1" applyFill="1" applyBorder="1" applyProtection="1">
      <alignment wrapText="1"/>
    </xf>
    <xf numFmtId="0" fontId="21" fillId="16" borderId="30" xfId="1" applyFont="1" applyFill="1" applyBorder="1" applyProtection="1">
      <alignment wrapText="1"/>
    </xf>
    <xf numFmtId="0" fontId="16" fillId="0" borderId="18" xfId="1" applyFont="1" applyFill="1" applyBorder="1" applyProtection="1">
      <alignment wrapText="1"/>
    </xf>
    <xf numFmtId="0" fontId="16" fillId="0" borderId="23" xfId="0" applyFont="1" applyFill="1" applyBorder="1"/>
    <xf numFmtId="2" fontId="21" fillId="0" borderId="23" xfId="0" applyNumberFormat="1" applyFont="1" applyFill="1" applyBorder="1" applyAlignment="1">
      <alignment horizontal="left"/>
    </xf>
    <xf numFmtId="2" fontId="18" fillId="0" borderId="23" xfId="0" applyNumberFormat="1" applyFont="1" applyFill="1" applyBorder="1" applyAlignment="1">
      <alignment horizontal="left"/>
    </xf>
    <xf numFmtId="164" fontId="16" fillId="0" borderId="0" xfId="0" applyNumberFormat="1" applyFont="1" applyFill="1"/>
    <xf numFmtId="1" fontId="16" fillId="0" borderId="0" xfId="0" applyNumberFormat="1" applyFont="1" applyFill="1"/>
    <xf numFmtId="1" fontId="18" fillId="0" borderId="23" xfId="0" applyNumberFormat="1" applyFont="1" applyFill="1" applyBorder="1" applyAlignment="1">
      <alignment horizontal="right"/>
    </xf>
    <xf numFmtId="0" fontId="15" fillId="7" borderId="0" xfId="0" applyFont="1" applyFill="1" applyBorder="1" applyAlignment="1">
      <alignment horizontal="right"/>
    </xf>
    <xf numFmtId="0" fontId="21" fillId="0" borderId="15" xfId="1" applyFont="1" applyFill="1" applyBorder="1" applyAlignment="1" applyProtection="1">
      <alignment horizontal="left" wrapText="1"/>
    </xf>
    <xf numFmtId="0" fontId="21" fillId="0" borderId="0" xfId="1" applyFont="1" applyFill="1" applyBorder="1" applyAlignment="1" applyProtection="1">
      <alignment horizontal="left" wrapText="1"/>
    </xf>
    <xf numFmtId="0" fontId="13" fillId="0" borderId="0" xfId="8" applyBorder="1" applyAlignment="1">
      <alignment horizontal="left" vertical="center" wrapText="1"/>
    </xf>
    <xf numFmtId="0" fontId="15" fillId="12" borderId="5" xfId="1" applyFont="1" applyFill="1" applyBorder="1" applyAlignment="1" applyProtection="1">
      <alignment horizontal="center" vertical="center" wrapText="1"/>
    </xf>
    <xf numFmtId="0" fontId="15" fillId="13" borderId="6" xfId="0" applyFont="1" applyFill="1" applyBorder="1" applyAlignment="1">
      <alignment horizontal="center" vertical="center"/>
    </xf>
    <xf numFmtId="0" fontId="15" fillId="13" borderId="7" xfId="0" applyFont="1" applyFill="1" applyBorder="1" applyAlignment="1">
      <alignment horizontal="center" vertical="center"/>
    </xf>
    <xf numFmtId="0" fontId="15" fillId="13" borderId="8" xfId="0" applyFont="1" applyFill="1" applyBorder="1" applyAlignment="1">
      <alignment horizontal="center" vertical="center"/>
    </xf>
    <xf numFmtId="0" fontId="15" fillId="9" borderId="6" xfId="1" applyFont="1" applyFill="1" applyBorder="1" applyAlignment="1" applyProtection="1">
      <alignment horizontal="center" vertical="center" wrapText="1"/>
    </xf>
    <xf numFmtId="0" fontId="15" fillId="9" borderId="7" xfId="1" applyFont="1" applyFill="1" applyBorder="1" applyAlignment="1" applyProtection="1">
      <alignment horizontal="center" vertical="center" wrapText="1"/>
    </xf>
    <xf numFmtId="0" fontId="15" fillId="9" borderId="8" xfId="1" applyFont="1" applyFill="1" applyBorder="1" applyAlignment="1" applyProtection="1">
      <alignment horizontal="center" vertical="center" wrapText="1"/>
    </xf>
    <xf numFmtId="0" fontId="15" fillId="7" borderId="6" xfId="0" applyFont="1" applyFill="1" applyBorder="1" applyAlignment="1">
      <alignment horizontal="center" vertical="center"/>
    </xf>
    <xf numFmtId="0" fontId="15" fillId="7" borderId="7" xfId="0" applyFont="1" applyFill="1" applyBorder="1" applyAlignment="1">
      <alignment horizontal="center" vertical="center"/>
    </xf>
    <xf numFmtId="0" fontId="15" fillId="11" borderId="6" xfId="1" applyFont="1" applyFill="1" applyBorder="1" applyAlignment="1" applyProtection="1">
      <alignment horizontal="center" vertical="center" wrapText="1"/>
    </xf>
    <xf numFmtId="0" fontId="15" fillId="11" borderId="7" xfId="1" applyFont="1" applyFill="1" applyBorder="1" applyAlignment="1" applyProtection="1">
      <alignment horizontal="center" vertical="center" wrapText="1"/>
    </xf>
    <xf numFmtId="0" fontId="15" fillId="11" borderId="8" xfId="1" applyFont="1" applyFill="1" applyBorder="1" applyAlignment="1" applyProtection="1">
      <alignment horizontal="center" vertical="center" wrapText="1"/>
    </xf>
    <xf numFmtId="0" fontId="15" fillId="10" borderId="6" xfId="1" applyFont="1" applyFill="1" applyBorder="1" applyAlignment="1" applyProtection="1">
      <alignment horizontal="center" vertical="center" wrapText="1"/>
    </xf>
    <xf numFmtId="0" fontId="15" fillId="10" borderId="7" xfId="1" applyFont="1" applyFill="1" applyBorder="1" applyAlignment="1" applyProtection="1">
      <alignment horizontal="center" vertical="center" wrapText="1"/>
    </xf>
    <xf numFmtId="0" fontId="15" fillId="10" borderId="8" xfId="1" applyFont="1" applyFill="1" applyBorder="1" applyAlignment="1" applyProtection="1">
      <alignment horizontal="center" vertical="center" wrapText="1"/>
    </xf>
    <xf numFmtId="0" fontId="18" fillId="6" borderId="0" xfId="0" applyFont="1" applyFill="1" applyBorder="1" applyAlignment="1">
      <alignment horizontal="center" vertical="center" wrapText="1"/>
    </xf>
    <xf numFmtId="0" fontId="7" fillId="0" borderId="0" xfId="6" applyAlignment="1">
      <alignment horizontal="left" vertical="center" wrapText="1"/>
    </xf>
    <xf numFmtId="0" fontId="15" fillId="15" borderId="0" xfId="1" applyFont="1" applyFill="1" applyBorder="1" applyAlignment="1" applyProtection="1">
      <alignment horizontal="center" wrapText="1"/>
    </xf>
    <xf numFmtId="0" fontId="16" fillId="7" borderId="0" xfId="0" applyFont="1" applyFill="1" applyBorder="1" applyAlignment="1">
      <alignment horizontal="center"/>
    </xf>
    <xf numFmtId="0" fontId="16" fillId="6" borderId="0" xfId="0" applyFont="1" applyFill="1" applyBorder="1" applyAlignment="1">
      <alignment horizontal="center"/>
    </xf>
    <xf numFmtId="0" fontId="6" fillId="17" borderId="31" xfId="5" applyFont="1" applyFill="1" applyBorder="1" applyAlignment="1">
      <alignment horizontal="center" vertical="center"/>
    </xf>
    <xf numFmtId="0" fontId="6" fillId="17" borderId="32" xfId="5" applyFont="1" applyFill="1" applyBorder="1" applyAlignment="1">
      <alignment horizontal="center" vertical="center"/>
    </xf>
    <xf numFmtId="0" fontId="6" fillId="17" borderId="33" xfId="5" applyFont="1" applyFill="1" applyBorder="1" applyAlignment="1">
      <alignment horizontal="center" vertical="center"/>
    </xf>
  </cellXfs>
  <cellStyles count="15">
    <cellStyle name="CE-Footnote" xfId="13"/>
    <cellStyle name="CE-Headline 1" xfId="6"/>
    <cellStyle name="CE-Headline 2" xfId="7"/>
    <cellStyle name="CE-Headline 3" xfId="8"/>
    <cellStyle name="CE-Headline 4" xfId="9"/>
    <cellStyle name="CE-Headline Subtitle" xfId="14"/>
    <cellStyle name="CE-Quote" xfId="12"/>
    <cellStyle name="CE-Standard" xfId="1"/>
    <cellStyle name="CE-TableHead1" xfId="2"/>
    <cellStyle name="CE-TableHead2" xfId="3"/>
    <cellStyle name="CE-TableHead3" xfId="4"/>
    <cellStyle name="CE-TableHead4" xfId="5"/>
    <cellStyle name="CE-TableStandard" xfId="11"/>
    <cellStyle name="Gut" xfId="10" builtinId="26" customBuiltin="1"/>
    <cellStyle name="Standard" xfId="0" builtinId="0"/>
  </cellStyles>
  <dxfs count="0"/>
  <tableStyles count="0" defaultTableStyle="TableStyleMedium2" defaultPivotStyle="PivotStyleLight16"/>
  <colors>
    <mruColors>
      <color rgb="FFECD9FF"/>
      <color rgb="FFAEE4AE"/>
      <color rgb="FF006600"/>
      <color rgb="FF003300"/>
      <color rgb="FF008000"/>
      <color rgb="FF7B7B7B"/>
      <color rgb="FF90ABB1"/>
      <color rgb="FF7E93A5"/>
      <color rgb="FF7EABB1"/>
      <color rgb="FF63777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queryTables/queryTable1.xml><?xml version="1.0" encoding="utf-8"?>
<queryTable xmlns="http://schemas.openxmlformats.org/spreadsheetml/2006/main" name="SZ" connectionId="3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GWD2" connectionId="2" autoFormatId="16" applyNumberFormats="0" applyBorderFormats="0" applyFontFormats="0" applyPatternFormats="0" applyAlignmentFormats="0" applyWidthHeightFormats="0"/>
</file>

<file path=xl/queryTables/queryTable3.xml><?xml version="1.0" encoding="utf-8"?>
<queryTable xmlns="http://schemas.openxmlformats.org/spreadsheetml/2006/main" name="ALL_2" connectionId="1" autoFormatId="16" applyNumberFormats="0" applyBorderFormats="0" applyFontFormats="0" applyPatternFormats="0" applyAlignmentFormats="0" applyWidthHeightFormats="0"/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E-Interreg">
  <a:themeElements>
    <a:clrScheme name="Central Europe">
      <a:dk1>
        <a:srgbClr val="0C0C0C"/>
      </a:dk1>
      <a:lt1>
        <a:sysClr val="window" lastClr="FFFFFF"/>
      </a:lt1>
      <a:dk2>
        <a:srgbClr val="4D4D4E"/>
      </a:dk2>
      <a:lt2>
        <a:srgbClr val="7E93A5"/>
      </a:lt2>
      <a:accent1>
        <a:srgbClr val="7D8B8A"/>
      </a:accent1>
      <a:accent2>
        <a:srgbClr val="90ABB1"/>
      </a:accent2>
      <a:accent3>
        <a:srgbClr val="C8D3D8"/>
      </a:accent3>
      <a:accent4>
        <a:srgbClr val="7B7B7D"/>
      </a:accent4>
      <a:accent5>
        <a:srgbClr val="A6A7A9"/>
      </a:accent5>
      <a:accent6>
        <a:srgbClr val="4D4933"/>
      </a:accent6>
      <a:hlink>
        <a:srgbClr val="7B7B7D"/>
      </a:hlink>
      <a:folHlink>
        <a:srgbClr val="BFBFBF"/>
      </a:folHlink>
    </a:clrScheme>
    <a:fontScheme name="CE-Interreg">
      <a:majorFont>
        <a:latin typeface="Trebuchet MS"/>
        <a:ea typeface=""/>
        <a:cs typeface=""/>
      </a:majorFont>
      <a:minorFont>
        <a:latin typeface="Trebuchet MS"/>
        <a:ea typeface=""/>
        <a:cs typeface="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>
    <a:txDef>
      <a:spPr bwMode="auto">
        <a:noFill/>
        <a:ln w="9525">
          <a:noFill/>
          <a:miter lim="800000"/>
          <a:headEnd/>
          <a:tailEnd/>
        </a:ln>
      </a:spPr>
      <a:bodyPr rot="0" vert="horz" wrap="square" lIns="91440" tIns="45720" rIns="91440" bIns="45720" anchor="t" anchorCtr="0">
        <a:noAutofit/>
      </a:bodyPr>
      <a:lstStyle/>
    </a:txDef>
  </a:objectDefaults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2.xml"/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3"/>
  <sheetViews>
    <sheetView tabSelected="1" zoomScaleNormal="100" workbookViewId="0">
      <selection activeCell="F26" sqref="F26"/>
    </sheetView>
  </sheetViews>
  <sheetFormatPr baseColWidth="10" defaultColWidth="11" defaultRowHeight="16.5" x14ac:dyDescent="0.3"/>
  <cols>
    <col min="1" max="1" width="28.25" style="1" customWidth="1"/>
    <col min="2" max="2" width="32.25" style="1" bestFit="1" customWidth="1"/>
    <col min="3" max="3" width="10.25" style="1" bestFit="1" customWidth="1"/>
    <col min="4" max="4" width="8.25" style="2" customWidth="1"/>
    <col min="5" max="5" width="13.5" style="2" customWidth="1"/>
    <col min="6" max="6" width="19" style="2" bestFit="1" customWidth="1"/>
    <col min="7" max="7" width="69" style="1" bestFit="1" customWidth="1"/>
    <col min="8" max="10" width="11" style="1"/>
    <col min="11" max="11" width="15.125" style="1" customWidth="1"/>
    <col min="12" max="16384" width="11" style="1"/>
  </cols>
  <sheetData>
    <row r="1" spans="1:7" s="2" customFormat="1" ht="45" customHeight="1" x14ac:dyDescent="0.35">
      <c r="A1" s="157" t="s">
        <v>153</v>
      </c>
      <c r="B1" s="157"/>
      <c r="C1" s="138" t="s">
        <v>109</v>
      </c>
      <c r="D1" s="139"/>
      <c r="E1" s="139"/>
      <c r="F1" s="139"/>
      <c r="G1" s="4"/>
    </row>
    <row r="2" spans="1:7" ht="21" x14ac:dyDescent="0.35">
      <c r="A2" s="140" t="s">
        <v>67</v>
      </c>
      <c r="B2" s="140"/>
      <c r="C2" s="140"/>
      <c r="D2" s="140"/>
      <c r="G2" s="3"/>
    </row>
    <row r="3" spans="1:7" s="5" customFormat="1" ht="15" x14ac:dyDescent="0.2">
      <c r="A3" s="20" t="s">
        <v>66</v>
      </c>
      <c r="B3" s="20" t="s">
        <v>68</v>
      </c>
      <c r="C3" s="20" t="s">
        <v>69</v>
      </c>
      <c r="D3" s="20" t="s">
        <v>70</v>
      </c>
      <c r="E3" s="20" t="s">
        <v>71</v>
      </c>
      <c r="F3" s="21" t="s">
        <v>43</v>
      </c>
      <c r="G3" s="19" t="s">
        <v>17</v>
      </c>
    </row>
    <row r="4" spans="1:7" s="13" customFormat="1" ht="15" x14ac:dyDescent="0.3">
      <c r="A4" s="145" t="s">
        <v>65</v>
      </c>
      <c r="B4" s="52" t="s">
        <v>93</v>
      </c>
      <c r="C4" s="53" t="s">
        <v>7</v>
      </c>
      <c r="D4" s="52">
        <v>20</v>
      </c>
      <c r="E4" s="52" t="s">
        <v>8</v>
      </c>
      <c r="F4" s="31" t="s">
        <v>24</v>
      </c>
      <c r="G4" s="13" t="s">
        <v>92</v>
      </c>
    </row>
    <row r="5" spans="1:7" s="13" customFormat="1" ht="15" x14ac:dyDescent="0.3">
      <c r="A5" s="146"/>
      <c r="B5" s="52" t="s">
        <v>20</v>
      </c>
      <c r="C5" s="52" t="s">
        <v>6</v>
      </c>
      <c r="D5" s="52">
        <v>5</v>
      </c>
      <c r="E5" s="52" t="s">
        <v>5</v>
      </c>
      <c r="F5" s="31" t="s">
        <v>24</v>
      </c>
      <c r="G5" s="32" t="s">
        <v>91</v>
      </c>
    </row>
    <row r="6" spans="1:7" s="13" customFormat="1" ht="15" x14ac:dyDescent="0.3">
      <c r="A6" s="147"/>
      <c r="B6" s="52" t="s">
        <v>9</v>
      </c>
      <c r="C6" s="53" t="s">
        <v>11</v>
      </c>
      <c r="D6" s="52">
        <v>0.75</v>
      </c>
      <c r="E6" s="52" t="s">
        <v>10</v>
      </c>
      <c r="F6" s="31" t="s">
        <v>24</v>
      </c>
      <c r="G6" s="13" t="s">
        <v>45</v>
      </c>
    </row>
    <row r="7" spans="1:7" s="17" customFormat="1" x14ac:dyDescent="0.35">
      <c r="A7" s="141" t="s">
        <v>104</v>
      </c>
      <c r="B7" s="54" t="s">
        <v>21</v>
      </c>
      <c r="C7" s="54" t="s">
        <v>89</v>
      </c>
      <c r="D7" s="54">
        <v>5</v>
      </c>
      <c r="E7" s="54" t="s">
        <v>23</v>
      </c>
      <c r="F7" s="22" t="s">
        <v>24</v>
      </c>
      <c r="G7" s="18" t="s">
        <v>44</v>
      </c>
    </row>
    <row r="8" spans="1:7" s="17" customFormat="1" x14ac:dyDescent="0.35">
      <c r="A8" s="141"/>
      <c r="B8" s="54" t="s">
        <v>22</v>
      </c>
      <c r="C8" s="54" t="s">
        <v>90</v>
      </c>
      <c r="D8" s="54">
        <v>18</v>
      </c>
      <c r="E8" s="54" t="s">
        <v>23</v>
      </c>
      <c r="F8" s="22" t="s">
        <v>24</v>
      </c>
      <c r="G8" s="18" t="s">
        <v>44</v>
      </c>
    </row>
    <row r="9" spans="1:7" s="14" customFormat="1" ht="15" x14ac:dyDescent="0.3">
      <c r="A9" s="153" t="s">
        <v>64</v>
      </c>
      <c r="B9" s="58" t="s">
        <v>110</v>
      </c>
      <c r="C9" s="58" t="s">
        <v>101</v>
      </c>
      <c r="D9" s="58">
        <v>5</v>
      </c>
      <c r="E9" s="58" t="s">
        <v>1</v>
      </c>
      <c r="F9" s="30" t="s">
        <v>25</v>
      </c>
      <c r="G9" s="15" t="s">
        <v>111</v>
      </c>
    </row>
    <row r="10" spans="1:7" s="14" customFormat="1" x14ac:dyDescent="0.35">
      <c r="A10" s="154"/>
      <c r="B10" s="58" t="s">
        <v>16</v>
      </c>
      <c r="C10" s="58" t="s">
        <v>78</v>
      </c>
      <c r="D10" s="58">
        <v>15</v>
      </c>
      <c r="E10" s="58" t="s">
        <v>1</v>
      </c>
      <c r="F10" s="24" t="s">
        <v>25</v>
      </c>
      <c r="G10" s="33"/>
    </row>
    <row r="11" spans="1:7" s="14" customFormat="1" x14ac:dyDescent="0.35">
      <c r="A11" s="154"/>
      <c r="B11" s="58" t="s">
        <v>83</v>
      </c>
      <c r="C11" s="58" t="s">
        <v>79</v>
      </c>
      <c r="D11" s="58">
        <v>11</v>
      </c>
      <c r="E11" s="58" t="s">
        <v>23</v>
      </c>
      <c r="F11" s="24" t="s">
        <v>31</v>
      </c>
      <c r="G11" s="15" t="s">
        <v>100</v>
      </c>
    </row>
    <row r="12" spans="1:7" s="14" customFormat="1" x14ac:dyDescent="0.35">
      <c r="A12" s="154"/>
      <c r="B12" s="58" t="s">
        <v>84</v>
      </c>
      <c r="C12" s="58" t="s">
        <v>80</v>
      </c>
      <c r="D12" s="58">
        <v>14</v>
      </c>
      <c r="E12" s="58" t="s">
        <v>23</v>
      </c>
      <c r="F12" s="24" t="s">
        <v>31</v>
      </c>
      <c r="G12" s="15" t="s">
        <v>99</v>
      </c>
    </row>
    <row r="13" spans="1:7" s="14" customFormat="1" ht="15" x14ac:dyDescent="0.3">
      <c r="A13" s="154"/>
      <c r="B13" s="58" t="s">
        <v>85</v>
      </c>
      <c r="C13" s="58" t="s">
        <v>2</v>
      </c>
      <c r="D13" s="59">
        <v>1E-3</v>
      </c>
      <c r="E13" s="58" t="s">
        <v>3</v>
      </c>
      <c r="F13" s="24" t="s">
        <v>31</v>
      </c>
      <c r="G13" s="15"/>
    </row>
    <row r="14" spans="1:7" s="14" customFormat="1" ht="30.75" x14ac:dyDescent="0.35">
      <c r="A14" s="155"/>
      <c r="B14" s="55" t="s">
        <v>86</v>
      </c>
      <c r="C14" s="55" t="s">
        <v>75</v>
      </c>
      <c r="D14" s="55">
        <v>2.4</v>
      </c>
      <c r="E14" s="55" t="s">
        <v>4</v>
      </c>
      <c r="F14" s="30" t="s">
        <v>24</v>
      </c>
      <c r="G14" s="15"/>
    </row>
    <row r="15" spans="1:7" s="16" customFormat="1" ht="30" x14ac:dyDescent="0.3">
      <c r="A15" s="150" t="s">
        <v>72</v>
      </c>
      <c r="B15" s="73" t="s">
        <v>102</v>
      </c>
      <c r="C15" s="74" t="s">
        <v>105</v>
      </c>
      <c r="D15" s="73">
        <v>1.2</v>
      </c>
      <c r="E15" s="73" t="s">
        <v>0</v>
      </c>
      <c r="F15" s="29" t="s">
        <v>24</v>
      </c>
      <c r="G15" s="72"/>
    </row>
    <row r="16" spans="1:7" s="7" customFormat="1" x14ac:dyDescent="0.35">
      <c r="A16" s="151"/>
      <c r="B16" s="75" t="s">
        <v>87</v>
      </c>
      <c r="C16" s="75" t="s">
        <v>106</v>
      </c>
      <c r="D16" s="75">
        <v>2</v>
      </c>
      <c r="E16" s="75" t="s">
        <v>0</v>
      </c>
      <c r="F16" s="23" t="s">
        <v>24</v>
      </c>
      <c r="G16" s="6"/>
    </row>
    <row r="17" spans="1:7" s="7" customFormat="1" x14ac:dyDescent="0.35">
      <c r="A17" s="152"/>
      <c r="B17" s="75" t="s">
        <v>88</v>
      </c>
      <c r="C17" s="75" t="s">
        <v>107</v>
      </c>
      <c r="D17" s="75">
        <v>2</v>
      </c>
      <c r="E17" s="75" t="s">
        <v>4</v>
      </c>
      <c r="F17" s="23" t="s">
        <v>24</v>
      </c>
      <c r="G17" s="6"/>
    </row>
    <row r="18" spans="1:7" s="11" customFormat="1" ht="15" x14ac:dyDescent="0.3">
      <c r="A18" s="8"/>
      <c r="B18" s="8"/>
      <c r="C18" s="8"/>
      <c r="D18" s="9"/>
      <c r="E18" s="9"/>
      <c r="F18" s="10"/>
    </row>
    <row r="19" spans="1:7" s="12" customFormat="1" x14ac:dyDescent="0.35">
      <c r="A19" s="142" t="s">
        <v>74</v>
      </c>
      <c r="B19" s="25" t="s">
        <v>53</v>
      </c>
      <c r="C19" s="25" t="s">
        <v>38</v>
      </c>
      <c r="D19" s="26">
        <f>(D33/D4+D34+D35)*D30*D6</f>
        <v>7.3932153878965341</v>
      </c>
      <c r="E19" s="27" t="s">
        <v>27</v>
      </c>
      <c r="F19" s="28" t="s">
        <v>52</v>
      </c>
    </row>
    <row r="20" spans="1:7" s="12" customFormat="1" x14ac:dyDescent="0.35">
      <c r="A20" s="143"/>
      <c r="B20" s="25" t="s">
        <v>54</v>
      </c>
      <c r="C20" s="25" t="s">
        <v>39</v>
      </c>
      <c r="D20" s="26">
        <f>(D33/D4+D34+D35)*D31*D6</f>
        <v>4.9288102585976894</v>
      </c>
      <c r="E20" s="27" t="s">
        <v>27</v>
      </c>
      <c r="F20" s="28" t="s">
        <v>52</v>
      </c>
    </row>
    <row r="21" spans="1:7" s="12" customFormat="1" x14ac:dyDescent="0.35">
      <c r="A21" s="144"/>
      <c r="B21" s="25" t="s">
        <v>55</v>
      </c>
      <c r="C21" s="61" t="s">
        <v>40</v>
      </c>
      <c r="D21" s="62">
        <f>D33*D32*D6</f>
        <v>30</v>
      </c>
      <c r="E21" s="63" t="s">
        <v>27</v>
      </c>
      <c r="F21" s="64" t="s">
        <v>52</v>
      </c>
    </row>
    <row r="22" spans="1:7" s="12" customFormat="1" x14ac:dyDescent="0.35">
      <c r="A22" s="148" t="s">
        <v>82</v>
      </c>
      <c r="B22" s="60" t="s">
        <v>118</v>
      </c>
      <c r="C22" s="65" t="s">
        <v>56</v>
      </c>
      <c r="D22" s="66">
        <f>D41/D40*3600*24</f>
        <v>54.092242082963708</v>
      </c>
      <c r="E22" s="67" t="s">
        <v>73</v>
      </c>
      <c r="F22" s="60" t="s">
        <v>52</v>
      </c>
    </row>
    <row r="23" spans="1:7" s="12" customFormat="1" x14ac:dyDescent="0.35">
      <c r="A23" s="149"/>
      <c r="B23" s="60" t="s">
        <v>115</v>
      </c>
      <c r="C23" s="69" t="s">
        <v>81</v>
      </c>
      <c r="D23" s="70">
        <f>D41/D40*D36*D5*1000</f>
        <v>12.834386142369858</v>
      </c>
      <c r="E23" s="71" t="s">
        <v>117</v>
      </c>
      <c r="F23" s="60" t="s">
        <v>52</v>
      </c>
    </row>
    <row r="24" spans="1:7" s="81" customFormat="1" ht="15" x14ac:dyDescent="0.3">
      <c r="A24" s="78"/>
      <c r="B24" s="79"/>
      <c r="C24" s="79"/>
      <c r="D24" s="82">
        <f>D19*1000/D23</f>
        <v>576.04744830681727</v>
      </c>
      <c r="E24" s="83" t="s">
        <v>116</v>
      </c>
      <c r="F24" s="80">
        <f>D42/D40*1000</f>
        <v>10.26750891389589</v>
      </c>
    </row>
    <row r="25" spans="1:7" s="11" customFormat="1" ht="16.5" customHeight="1" x14ac:dyDescent="0.3">
      <c r="A25" s="156" t="s">
        <v>57</v>
      </c>
      <c r="B25" s="34" t="s">
        <v>33</v>
      </c>
      <c r="C25" s="35" t="s">
        <v>130</v>
      </c>
      <c r="D25" s="36">
        <f>D16/D17/1000000</f>
        <v>9.9999999999999995E-7</v>
      </c>
      <c r="E25" s="34" t="s">
        <v>12</v>
      </c>
      <c r="F25" s="37"/>
    </row>
    <row r="26" spans="1:7" s="11" customFormat="1" ht="16.5" customHeight="1" x14ac:dyDescent="0.3">
      <c r="A26" s="156"/>
      <c r="B26" s="38" t="s">
        <v>34</v>
      </c>
      <c r="C26" s="39" t="s">
        <v>131</v>
      </c>
      <c r="D26" s="38">
        <v>10</v>
      </c>
      <c r="E26" s="38" t="s">
        <v>1</v>
      </c>
      <c r="F26" s="37"/>
    </row>
    <row r="27" spans="1:7" s="11" customFormat="1" ht="16.5" customHeight="1" x14ac:dyDescent="0.3">
      <c r="A27" s="156"/>
      <c r="B27" s="38" t="s">
        <v>35</v>
      </c>
      <c r="C27" s="39" t="s">
        <v>132</v>
      </c>
      <c r="D27" s="38">
        <v>10</v>
      </c>
      <c r="E27" s="38" t="s">
        <v>13</v>
      </c>
      <c r="F27" s="37"/>
    </row>
    <row r="28" spans="1:7" s="11" customFormat="1" ht="16.5" customHeight="1" x14ac:dyDescent="0.3">
      <c r="A28" s="156"/>
      <c r="B28" s="38" t="s">
        <v>94</v>
      </c>
      <c r="C28" s="40" t="s">
        <v>133</v>
      </c>
      <c r="D28" s="41">
        <f>ERFC(D26/2/SQRT(D25*D27*365*24*3600))</f>
        <v>0.69049598254555811</v>
      </c>
      <c r="E28" s="38"/>
      <c r="F28" s="37"/>
    </row>
    <row r="29" spans="1:7" s="11" customFormat="1" ht="16.5" customHeight="1" x14ac:dyDescent="0.3">
      <c r="A29" s="156"/>
      <c r="B29" s="42" t="s">
        <v>95</v>
      </c>
      <c r="C29" s="42" t="s">
        <v>134</v>
      </c>
      <c r="D29" s="41">
        <f>D16*(1-D28)/D26</f>
        <v>6.1900803490888376E-2</v>
      </c>
      <c r="E29" s="38" t="s">
        <v>14</v>
      </c>
      <c r="F29" s="43"/>
    </row>
    <row r="30" spans="1:7" s="11" customFormat="1" ht="16.5" customHeight="1" x14ac:dyDescent="0.35">
      <c r="A30" s="156"/>
      <c r="B30" s="42"/>
      <c r="C30" s="56" t="s">
        <v>77</v>
      </c>
      <c r="D30" s="43">
        <f>D11-D7</f>
        <v>6</v>
      </c>
      <c r="E30" s="57" t="s">
        <v>5</v>
      </c>
      <c r="F30" s="43"/>
    </row>
    <row r="31" spans="1:7" s="11" customFormat="1" ht="16.5" customHeight="1" x14ac:dyDescent="0.35">
      <c r="A31" s="156"/>
      <c r="B31" s="42"/>
      <c r="C31" s="56" t="s">
        <v>76</v>
      </c>
      <c r="D31" s="43">
        <f>D8-D12</f>
        <v>4</v>
      </c>
      <c r="E31" s="57" t="s">
        <v>5</v>
      </c>
      <c r="F31" s="43"/>
    </row>
    <row r="32" spans="1:7" s="11" customFormat="1" ht="16.5" customHeight="1" x14ac:dyDescent="0.35">
      <c r="A32" s="156"/>
      <c r="B32" s="42"/>
      <c r="C32" s="56" t="s">
        <v>103</v>
      </c>
      <c r="D32" s="43">
        <f>MIN(D30:D31)</f>
        <v>4</v>
      </c>
      <c r="E32" s="57" t="s">
        <v>5</v>
      </c>
      <c r="F32" s="43"/>
    </row>
    <row r="33" spans="1:7" s="11" customFormat="1" ht="16.5" customHeight="1" x14ac:dyDescent="0.35">
      <c r="A33" s="156"/>
      <c r="B33" s="38" t="s">
        <v>47</v>
      </c>
      <c r="C33" s="39" t="s">
        <v>58</v>
      </c>
      <c r="D33" s="44">
        <f>D14*D10/3.6</f>
        <v>10</v>
      </c>
      <c r="E33" s="38" t="s">
        <v>49</v>
      </c>
      <c r="F33" s="43"/>
    </row>
    <row r="34" spans="1:7" s="11" customFormat="1" ht="16.5" customHeight="1" x14ac:dyDescent="0.35">
      <c r="A34" s="156"/>
      <c r="B34" s="38" t="s">
        <v>46</v>
      </c>
      <c r="C34" s="39" t="s">
        <v>59</v>
      </c>
      <c r="D34" s="44">
        <f>MIN(MAX(D15/(MAX(D9,3)+D37/4)*4380/1000,D35),D33)</f>
        <v>0.60068571428571427</v>
      </c>
      <c r="E34" s="38" t="s">
        <v>30</v>
      </c>
      <c r="F34" s="37"/>
      <c r="G34" s="11" t="s">
        <v>114</v>
      </c>
    </row>
    <row r="35" spans="1:7" s="11" customFormat="1" ht="16.5" customHeight="1" x14ac:dyDescent="0.35">
      <c r="A35" s="156"/>
      <c r="B35" s="38" t="s">
        <v>48</v>
      </c>
      <c r="C35" s="39" t="s">
        <v>60</v>
      </c>
      <c r="D35" s="44">
        <f>D29*8760/1000</f>
        <v>0.54225103858018209</v>
      </c>
      <c r="E35" s="38" t="s">
        <v>30</v>
      </c>
      <c r="F35" s="37"/>
    </row>
    <row r="36" spans="1:7" s="11" customFormat="1" ht="16.5" customHeight="1" x14ac:dyDescent="0.35">
      <c r="A36" s="156"/>
      <c r="B36" s="38" t="s">
        <v>96</v>
      </c>
      <c r="C36" s="39" t="s">
        <v>61</v>
      </c>
      <c r="D36" s="44">
        <v>4.0999999999999996</v>
      </c>
      <c r="E36" s="38" t="s">
        <v>4</v>
      </c>
      <c r="F36" s="37"/>
    </row>
    <row r="37" spans="1:7" s="11" customFormat="1" ht="16.5" customHeight="1" x14ac:dyDescent="0.35">
      <c r="A37" s="156"/>
      <c r="B37" s="37" t="s">
        <v>36</v>
      </c>
      <c r="C37" s="45" t="s">
        <v>62</v>
      </c>
      <c r="D37" s="46">
        <f>MIN(D10,20)</f>
        <v>15</v>
      </c>
      <c r="E37" s="37" t="s">
        <v>1</v>
      </c>
      <c r="F37" s="37"/>
      <c r="G37" s="11" t="s">
        <v>50</v>
      </c>
    </row>
    <row r="38" spans="1:7" s="11" customFormat="1" ht="16.5" customHeight="1" x14ac:dyDescent="0.3">
      <c r="A38" s="156"/>
      <c r="B38" s="42" t="s">
        <v>37</v>
      </c>
      <c r="C38" s="42" t="s">
        <v>18</v>
      </c>
      <c r="D38" s="46">
        <f>MIN(D39/3000/SQRT(D13),D10/3,5)</f>
        <v>1.5811388300841898</v>
      </c>
      <c r="E38" s="42" t="s">
        <v>1</v>
      </c>
      <c r="F38" s="42"/>
      <c r="G38" s="11" t="s">
        <v>51</v>
      </c>
    </row>
    <row r="39" spans="1:7" s="11" customFormat="1" ht="16.5" customHeight="1" x14ac:dyDescent="0.3">
      <c r="A39" s="156"/>
      <c r="B39" s="42" t="s">
        <v>19</v>
      </c>
      <c r="C39" s="42" t="s">
        <v>15</v>
      </c>
      <c r="D39" s="47">
        <v>150</v>
      </c>
      <c r="E39" s="42" t="s">
        <v>1</v>
      </c>
      <c r="F39" s="47"/>
      <c r="G39" s="11" t="s">
        <v>124</v>
      </c>
    </row>
    <row r="40" spans="1:7" s="11" customFormat="1" ht="16.5" customHeight="1" x14ac:dyDescent="0.35">
      <c r="A40" s="156"/>
      <c r="B40" s="48" t="s">
        <v>41</v>
      </c>
      <c r="C40" s="48" t="s">
        <v>63</v>
      </c>
      <c r="D40" s="49">
        <f>2*D39^2</f>
        <v>45000</v>
      </c>
      <c r="E40" s="50" t="s">
        <v>42</v>
      </c>
      <c r="F40" s="51"/>
      <c r="G40" s="11" t="s">
        <v>113</v>
      </c>
    </row>
    <row r="41" spans="1:7" s="11" customFormat="1" ht="16.5" customHeight="1" x14ac:dyDescent="0.35">
      <c r="A41" s="156"/>
      <c r="B41" s="48" t="s">
        <v>26</v>
      </c>
      <c r="C41" s="48" t="s">
        <v>97</v>
      </c>
      <c r="D41" s="49">
        <f>PI()*D13*D38*(2*D37-D38)/LN(D39)*1000</f>
        <v>28.173042751543598</v>
      </c>
      <c r="E41" s="50" t="s">
        <v>29</v>
      </c>
      <c r="F41" s="51"/>
      <c r="G41" s="11" t="s">
        <v>112</v>
      </c>
    </row>
    <row r="42" spans="1:7" s="11" customFormat="1" ht="16.5" customHeight="1" x14ac:dyDescent="0.35">
      <c r="A42" s="156"/>
      <c r="B42" s="48" t="s">
        <v>32</v>
      </c>
      <c r="C42" s="48" t="s">
        <v>98</v>
      </c>
      <c r="D42" s="49">
        <f>D41*D36*MIN(D5,D32)</f>
        <v>462.03790112531499</v>
      </c>
      <c r="E42" s="50" t="s">
        <v>28</v>
      </c>
      <c r="F42" s="51"/>
      <c r="G42" s="11" t="s">
        <v>112</v>
      </c>
    </row>
    <row r="43" spans="1:7" s="11" customFormat="1" ht="16.5" customHeight="1" x14ac:dyDescent="0.3">
      <c r="A43" s="68"/>
      <c r="B43" s="45" t="s">
        <v>108</v>
      </c>
      <c r="C43" s="45"/>
      <c r="D43" s="77">
        <f>D21/MAX(D19:D20)</f>
        <v>4.0577743817815906</v>
      </c>
      <c r="E43" s="76" t="s">
        <v>10</v>
      </c>
      <c r="F43" s="77"/>
    </row>
    <row r="44" spans="1:7" s="11" customFormat="1" ht="24.95" customHeight="1" x14ac:dyDescent="0.3"/>
    <row r="45" spans="1:7" s="11" customFormat="1" ht="24.95" customHeight="1" x14ac:dyDescent="0.3"/>
    <row r="46" spans="1:7" s="11" customFormat="1" ht="24.95" customHeight="1" x14ac:dyDescent="0.3"/>
    <row r="47" spans="1:7" s="11" customFormat="1" ht="24.95" customHeight="1" x14ac:dyDescent="0.3"/>
    <row r="48" spans="1:7" s="11" customFormat="1" ht="24.95" customHeight="1" x14ac:dyDescent="0.3"/>
    <row r="49" spans="4:6" s="11" customFormat="1" ht="24.95" customHeight="1" x14ac:dyDescent="0.3"/>
    <row r="50" spans="4:6" s="11" customFormat="1" ht="24.95" customHeight="1" x14ac:dyDescent="0.3"/>
    <row r="51" spans="4:6" s="11" customFormat="1" ht="24.95" customHeight="1" x14ac:dyDescent="0.3"/>
    <row r="52" spans="4:6" s="11" customFormat="1" ht="24.95" customHeight="1" x14ac:dyDescent="0.3"/>
    <row r="53" spans="4:6" s="11" customFormat="1" ht="24.95" customHeight="1" x14ac:dyDescent="0.3"/>
    <row r="54" spans="4:6" ht="24.95" customHeight="1" x14ac:dyDescent="0.3">
      <c r="D54" s="1"/>
      <c r="E54" s="1"/>
      <c r="F54" s="1"/>
    </row>
    <row r="55" spans="4:6" ht="24.95" customHeight="1" x14ac:dyDescent="0.3">
      <c r="D55" s="1"/>
      <c r="E55" s="1"/>
      <c r="F55" s="1"/>
    </row>
    <row r="56" spans="4:6" ht="24.95" customHeight="1" x14ac:dyDescent="0.3">
      <c r="D56" s="1"/>
      <c r="E56" s="1"/>
      <c r="F56" s="1"/>
    </row>
    <row r="57" spans="4:6" ht="24.95" customHeight="1" x14ac:dyDescent="0.3">
      <c r="D57" s="1"/>
      <c r="E57" s="1"/>
      <c r="F57" s="1"/>
    </row>
    <row r="58" spans="4:6" ht="24.95" customHeight="1" x14ac:dyDescent="0.3">
      <c r="D58" s="1"/>
      <c r="E58" s="1"/>
      <c r="F58" s="1"/>
    </row>
    <row r="59" spans="4:6" ht="24.95" customHeight="1" x14ac:dyDescent="0.3">
      <c r="D59" s="1"/>
      <c r="E59" s="1"/>
      <c r="F59" s="1"/>
    </row>
    <row r="60" spans="4:6" ht="24.95" customHeight="1" x14ac:dyDescent="0.3">
      <c r="D60" s="1"/>
      <c r="E60" s="1"/>
      <c r="F60" s="1"/>
    </row>
    <row r="61" spans="4:6" ht="24.95" customHeight="1" x14ac:dyDescent="0.3">
      <c r="D61" s="1"/>
      <c r="E61" s="1"/>
      <c r="F61" s="1"/>
    </row>
    <row r="62" spans="4:6" ht="24.95" customHeight="1" x14ac:dyDescent="0.3">
      <c r="D62" s="1"/>
      <c r="E62" s="1"/>
      <c r="F62" s="1"/>
    </row>
    <row r="63" spans="4:6" ht="24.95" customHeight="1" x14ac:dyDescent="0.3">
      <c r="D63" s="1"/>
      <c r="E63" s="1"/>
      <c r="F63" s="1"/>
    </row>
    <row r="64" spans="4:6" ht="24.95" customHeight="1" x14ac:dyDescent="0.3">
      <c r="D64" s="1"/>
      <c r="E64" s="1"/>
      <c r="F64" s="1"/>
    </row>
    <row r="65" spans="4:6" ht="24.95" customHeight="1" x14ac:dyDescent="0.3">
      <c r="D65" s="1"/>
      <c r="E65" s="1"/>
      <c r="F65" s="1"/>
    </row>
    <row r="66" spans="4:6" ht="24.95" customHeight="1" x14ac:dyDescent="0.3">
      <c r="D66" s="1"/>
      <c r="E66" s="1"/>
      <c r="F66" s="1"/>
    </row>
    <row r="67" spans="4:6" ht="24.95" customHeight="1" x14ac:dyDescent="0.3">
      <c r="D67" s="1"/>
      <c r="E67" s="1"/>
      <c r="F67" s="1"/>
    </row>
    <row r="68" spans="4:6" ht="24.95" customHeight="1" x14ac:dyDescent="0.3">
      <c r="D68" s="1"/>
      <c r="E68" s="1"/>
      <c r="F68" s="1"/>
    </row>
    <row r="69" spans="4:6" ht="24.6" customHeight="1" x14ac:dyDescent="0.3">
      <c r="D69" s="1"/>
      <c r="E69" s="1"/>
      <c r="F69" s="1"/>
    </row>
    <row r="70" spans="4:6" ht="24.95" customHeight="1" x14ac:dyDescent="0.3">
      <c r="D70" s="1"/>
      <c r="E70" s="1"/>
      <c r="F70" s="1"/>
    </row>
    <row r="71" spans="4:6" ht="24.95" customHeight="1" x14ac:dyDescent="0.3">
      <c r="D71" s="1"/>
      <c r="E71" s="1"/>
      <c r="F71" s="1"/>
    </row>
    <row r="72" spans="4:6" ht="24.95" customHeight="1" x14ac:dyDescent="0.3">
      <c r="D72" s="1"/>
      <c r="E72" s="1"/>
      <c r="F72" s="1"/>
    </row>
    <row r="73" spans="4:6" ht="24.95" customHeight="1" x14ac:dyDescent="0.3">
      <c r="D73" s="1"/>
      <c r="E73" s="1"/>
      <c r="F73" s="1"/>
    </row>
    <row r="74" spans="4:6" ht="24.95" customHeight="1" x14ac:dyDescent="0.3">
      <c r="D74" s="1"/>
      <c r="E74" s="1"/>
      <c r="F74" s="1"/>
    </row>
    <row r="75" spans="4:6" ht="24.95" customHeight="1" x14ac:dyDescent="0.3">
      <c r="D75" s="1"/>
      <c r="E75" s="1"/>
      <c r="F75" s="1"/>
    </row>
    <row r="76" spans="4:6" x14ac:dyDescent="0.3">
      <c r="D76" s="1"/>
      <c r="E76" s="1"/>
      <c r="F76" s="1"/>
    </row>
    <row r="77" spans="4:6" x14ac:dyDescent="0.3">
      <c r="D77" s="1"/>
      <c r="E77" s="1"/>
      <c r="F77" s="1"/>
    </row>
    <row r="78" spans="4:6" x14ac:dyDescent="0.3">
      <c r="D78" s="1"/>
      <c r="E78" s="1"/>
      <c r="F78" s="1"/>
    </row>
    <row r="79" spans="4:6" x14ac:dyDescent="0.3">
      <c r="D79" s="1"/>
      <c r="E79" s="1"/>
      <c r="F79" s="1"/>
    </row>
    <row r="80" spans="4:6" x14ac:dyDescent="0.3">
      <c r="D80" s="1"/>
      <c r="E80" s="1"/>
      <c r="F80" s="1"/>
    </row>
    <row r="81" spans="4:6" x14ac:dyDescent="0.3">
      <c r="D81" s="1"/>
      <c r="E81" s="1"/>
      <c r="F81" s="1"/>
    </row>
    <row r="82" spans="4:6" x14ac:dyDescent="0.3">
      <c r="D82" s="1"/>
      <c r="E82" s="1"/>
      <c r="F82" s="1"/>
    </row>
    <row r="83" spans="4:6" x14ac:dyDescent="0.3">
      <c r="D83" s="1"/>
      <c r="E83" s="1"/>
      <c r="F83" s="1"/>
    </row>
    <row r="84" spans="4:6" x14ac:dyDescent="0.3">
      <c r="D84" s="1"/>
      <c r="E84" s="1"/>
      <c r="F84" s="1"/>
    </row>
    <row r="85" spans="4:6" x14ac:dyDescent="0.3">
      <c r="D85" s="1"/>
      <c r="E85" s="1"/>
      <c r="F85" s="1"/>
    </row>
    <row r="86" spans="4:6" x14ac:dyDescent="0.3">
      <c r="D86" s="1"/>
      <c r="E86" s="1"/>
      <c r="F86" s="1"/>
    </row>
    <row r="87" spans="4:6" x14ac:dyDescent="0.3">
      <c r="D87" s="1"/>
      <c r="E87" s="1"/>
      <c r="F87" s="1"/>
    </row>
    <row r="88" spans="4:6" x14ac:dyDescent="0.3">
      <c r="D88" s="1"/>
      <c r="E88" s="1"/>
      <c r="F88" s="1"/>
    </row>
    <row r="89" spans="4:6" x14ac:dyDescent="0.3">
      <c r="D89" s="1"/>
      <c r="E89" s="1"/>
      <c r="F89" s="1"/>
    </row>
    <row r="90" spans="4:6" x14ac:dyDescent="0.3">
      <c r="D90" s="1"/>
      <c r="E90" s="1"/>
      <c r="F90" s="1"/>
    </row>
    <row r="91" spans="4:6" x14ac:dyDescent="0.3">
      <c r="D91" s="1"/>
      <c r="E91" s="1"/>
      <c r="F91" s="1"/>
    </row>
    <row r="92" spans="4:6" x14ac:dyDescent="0.3">
      <c r="D92" s="1"/>
      <c r="E92" s="1"/>
      <c r="F92" s="1"/>
    </row>
    <row r="93" spans="4:6" x14ac:dyDescent="0.3">
      <c r="D93" s="1"/>
      <c r="E93" s="1"/>
      <c r="F93" s="1"/>
    </row>
    <row r="94" spans="4:6" x14ac:dyDescent="0.3">
      <c r="D94" s="1"/>
      <c r="E94" s="1"/>
      <c r="F94" s="1"/>
    </row>
    <row r="95" spans="4:6" x14ac:dyDescent="0.3">
      <c r="D95" s="1"/>
      <c r="E95" s="1"/>
      <c r="F95" s="1"/>
    </row>
    <row r="96" spans="4:6" x14ac:dyDescent="0.3">
      <c r="D96" s="1"/>
      <c r="E96" s="1"/>
      <c r="F96" s="1"/>
    </row>
    <row r="97" spans="4:6" x14ac:dyDescent="0.3">
      <c r="D97" s="1"/>
      <c r="E97" s="1"/>
      <c r="F97" s="1"/>
    </row>
    <row r="98" spans="4:6" x14ac:dyDescent="0.3">
      <c r="D98" s="1"/>
      <c r="E98" s="1"/>
      <c r="F98" s="1"/>
    </row>
    <row r="99" spans="4:6" x14ac:dyDescent="0.3">
      <c r="D99" s="1"/>
      <c r="E99" s="1"/>
      <c r="F99" s="1"/>
    </row>
    <row r="100" spans="4:6" x14ac:dyDescent="0.3">
      <c r="D100" s="1"/>
      <c r="E100" s="1"/>
      <c r="F100" s="1"/>
    </row>
    <row r="101" spans="4:6" x14ac:dyDescent="0.3">
      <c r="D101" s="1"/>
      <c r="E101" s="1"/>
      <c r="F101" s="1"/>
    </row>
    <row r="102" spans="4:6" x14ac:dyDescent="0.3">
      <c r="D102" s="1"/>
      <c r="E102" s="1"/>
      <c r="F102" s="1"/>
    </row>
    <row r="103" spans="4:6" x14ac:dyDescent="0.3">
      <c r="D103" s="1"/>
      <c r="E103" s="1"/>
      <c r="F103" s="1"/>
    </row>
    <row r="104" spans="4:6" x14ac:dyDescent="0.3">
      <c r="D104" s="1"/>
      <c r="E104" s="1"/>
      <c r="F104" s="1"/>
    </row>
    <row r="105" spans="4:6" x14ac:dyDescent="0.3">
      <c r="D105" s="1"/>
      <c r="E105" s="1"/>
      <c r="F105" s="1"/>
    </row>
    <row r="106" spans="4:6" x14ac:dyDescent="0.3">
      <c r="D106" s="1"/>
      <c r="E106" s="1"/>
      <c r="F106" s="1"/>
    </row>
    <row r="107" spans="4:6" x14ac:dyDescent="0.3">
      <c r="D107" s="1"/>
      <c r="E107" s="1"/>
      <c r="F107" s="1"/>
    </row>
    <row r="108" spans="4:6" x14ac:dyDescent="0.3">
      <c r="D108" s="1"/>
      <c r="E108" s="1"/>
      <c r="F108" s="1"/>
    </row>
    <row r="109" spans="4:6" x14ac:dyDescent="0.3">
      <c r="D109" s="1"/>
      <c r="E109" s="1"/>
      <c r="F109" s="1"/>
    </row>
    <row r="110" spans="4:6" x14ac:dyDescent="0.3">
      <c r="D110" s="1"/>
      <c r="E110" s="1"/>
      <c r="F110" s="1"/>
    </row>
    <row r="111" spans="4:6" x14ac:dyDescent="0.3">
      <c r="D111" s="1"/>
      <c r="E111" s="1"/>
      <c r="F111" s="1"/>
    </row>
    <row r="112" spans="4:6" x14ac:dyDescent="0.3">
      <c r="D112" s="1"/>
      <c r="E112" s="1"/>
      <c r="F112" s="1"/>
    </row>
    <row r="113" spans="4:6" x14ac:dyDescent="0.3">
      <c r="D113" s="1"/>
      <c r="E113" s="1"/>
      <c r="F113" s="1"/>
    </row>
    <row r="114" spans="4:6" x14ac:dyDescent="0.3">
      <c r="D114" s="1"/>
      <c r="E114" s="1"/>
      <c r="F114" s="1"/>
    </row>
    <row r="115" spans="4:6" x14ac:dyDescent="0.3">
      <c r="D115" s="1"/>
      <c r="E115" s="1"/>
      <c r="F115" s="1"/>
    </row>
    <row r="116" spans="4:6" x14ac:dyDescent="0.3">
      <c r="D116" s="1"/>
      <c r="E116" s="1"/>
      <c r="F116" s="1"/>
    </row>
    <row r="117" spans="4:6" x14ac:dyDescent="0.3">
      <c r="D117" s="1"/>
      <c r="E117" s="1"/>
      <c r="F117" s="1"/>
    </row>
    <row r="118" spans="4:6" x14ac:dyDescent="0.3">
      <c r="D118" s="1"/>
      <c r="E118" s="1"/>
      <c r="F118" s="1"/>
    </row>
    <row r="119" spans="4:6" x14ac:dyDescent="0.3">
      <c r="D119" s="1"/>
      <c r="E119" s="1"/>
      <c r="F119" s="1"/>
    </row>
    <row r="120" spans="4:6" x14ac:dyDescent="0.3">
      <c r="D120" s="1"/>
      <c r="E120" s="1"/>
      <c r="F120" s="1"/>
    </row>
    <row r="121" spans="4:6" x14ac:dyDescent="0.3">
      <c r="D121" s="1"/>
      <c r="E121" s="1"/>
      <c r="F121" s="1"/>
    </row>
    <row r="122" spans="4:6" x14ac:dyDescent="0.3">
      <c r="D122" s="1"/>
      <c r="E122" s="1"/>
      <c r="F122" s="1"/>
    </row>
    <row r="123" spans="4:6" x14ac:dyDescent="0.3">
      <c r="D123" s="1"/>
      <c r="E123" s="1"/>
      <c r="F123" s="1"/>
    </row>
    <row r="124" spans="4:6" x14ac:dyDescent="0.3">
      <c r="D124" s="1"/>
      <c r="E124" s="1"/>
      <c r="F124" s="1"/>
    </row>
    <row r="125" spans="4:6" x14ac:dyDescent="0.3">
      <c r="D125" s="1"/>
      <c r="E125" s="1"/>
      <c r="F125" s="1"/>
    </row>
    <row r="126" spans="4:6" x14ac:dyDescent="0.3">
      <c r="D126" s="1"/>
      <c r="E126" s="1"/>
      <c r="F126" s="1"/>
    </row>
    <row r="127" spans="4:6" x14ac:dyDescent="0.3">
      <c r="D127" s="1"/>
      <c r="E127" s="1"/>
      <c r="F127" s="1"/>
    </row>
    <row r="128" spans="4:6" x14ac:dyDescent="0.3">
      <c r="D128" s="1"/>
      <c r="E128" s="1"/>
      <c r="F128" s="1"/>
    </row>
    <row r="129" spans="4:6" x14ac:dyDescent="0.3">
      <c r="D129" s="1"/>
      <c r="E129" s="1"/>
      <c r="F129" s="1"/>
    </row>
    <row r="130" spans="4:6" x14ac:dyDescent="0.3">
      <c r="D130" s="1"/>
      <c r="E130" s="1"/>
      <c r="F130" s="1"/>
    </row>
    <row r="131" spans="4:6" x14ac:dyDescent="0.3">
      <c r="D131" s="1"/>
      <c r="E131" s="1"/>
      <c r="F131" s="1"/>
    </row>
    <row r="132" spans="4:6" x14ac:dyDescent="0.3">
      <c r="D132" s="1"/>
      <c r="E132" s="1"/>
      <c r="F132" s="1"/>
    </row>
    <row r="133" spans="4:6" x14ac:dyDescent="0.3">
      <c r="D133" s="1"/>
      <c r="E133" s="1"/>
      <c r="F133" s="1"/>
    </row>
    <row r="134" spans="4:6" x14ac:dyDescent="0.3">
      <c r="D134" s="1"/>
      <c r="E134" s="1"/>
      <c r="F134" s="1"/>
    </row>
    <row r="135" spans="4:6" x14ac:dyDescent="0.3">
      <c r="D135" s="1"/>
      <c r="E135" s="1"/>
      <c r="F135" s="1"/>
    </row>
    <row r="136" spans="4:6" x14ac:dyDescent="0.3">
      <c r="D136" s="1"/>
      <c r="E136" s="1"/>
      <c r="F136" s="1"/>
    </row>
    <row r="137" spans="4:6" x14ac:dyDescent="0.3">
      <c r="D137" s="1"/>
      <c r="E137" s="1"/>
      <c r="F137" s="1"/>
    </row>
    <row r="138" spans="4:6" x14ac:dyDescent="0.3">
      <c r="D138" s="1"/>
      <c r="E138" s="1"/>
      <c r="F138" s="1"/>
    </row>
    <row r="139" spans="4:6" x14ac:dyDescent="0.3">
      <c r="D139" s="1"/>
      <c r="E139" s="1"/>
      <c r="F139" s="1"/>
    </row>
    <row r="140" spans="4:6" x14ac:dyDescent="0.3">
      <c r="D140" s="1"/>
      <c r="E140" s="1"/>
      <c r="F140" s="1"/>
    </row>
    <row r="141" spans="4:6" x14ac:dyDescent="0.3">
      <c r="D141" s="1"/>
      <c r="E141" s="1"/>
      <c r="F141" s="1"/>
    </row>
    <row r="142" spans="4:6" x14ac:dyDescent="0.3">
      <c r="D142" s="1"/>
      <c r="E142" s="1"/>
      <c r="F142" s="1"/>
    </row>
    <row r="143" spans="4:6" x14ac:dyDescent="0.3">
      <c r="D143" s="1"/>
      <c r="E143" s="1"/>
      <c r="F143" s="1"/>
    </row>
    <row r="144" spans="4:6" x14ac:dyDescent="0.3">
      <c r="D144" s="1"/>
      <c r="E144" s="1"/>
      <c r="F144" s="1"/>
    </row>
    <row r="145" spans="4:6" x14ac:dyDescent="0.3">
      <c r="D145" s="1"/>
      <c r="E145" s="1"/>
      <c r="F145" s="1"/>
    </row>
    <row r="146" spans="4:6" x14ac:dyDescent="0.3">
      <c r="D146" s="1"/>
      <c r="E146" s="1"/>
      <c r="F146" s="1"/>
    </row>
    <row r="147" spans="4:6" x14ac:dyDescent="0.3">
      <c r="D147" s="1"/>
      <c r="E147" s="1"/>
      <c r="F147" s="1"/>
    </row>
    <row r="148" spans="4:6" x14ac:dyDescent="0.3">
      <c r="D148" s="1"/>
      <c r="E148" s="1"/>
      <c r="F148" s="1"/>
    </row>
    <row r="149" spans="4:6" x14ac:dyDescent="0.3">
      <c r="D149" s="1"/>
      <c r="E149" s="1"/>
      <c r="F149" s="1"/>
    </row>
    <row r="150" spans="4:6" x14ac:dyDescent="0.3">
      <c r="D150" s="1"/>
      <c r="E150" s="1"/>
      <c r="F150" s="1"/>
    </row>
    <row r="151" spans="4:6" x14ac:dyDescent="0.3">
      <c r="D151" s="1"/>
      <c r="E151" s="1"/>
      <c r="F151" s="1"/>
    </row>
    <row r="152" spans="4:6" x14ac:dyDescent="0.3">
      <c r="D152" s="1"/>
      <c r="E152" s="1"/>
      <c r="F152" s="1"/>
    </row>
    <row r="153" spans="4:6" x14ac:dyDescent="0.3">
      <c r="D153" s="1"/>
      <c r="E153" s="1"/>
      <c r="F153" s="1"/>
    </row>
    <row r="154" spans="4:6" x14ac:dyDescent="0.3">
      <c r="D154" s="1"/>
      <c r="E154" s="1"/>
      <c r="F154" s="1"/>
    </row>
    <row r="155" spans="4:6" x14ac:dyDescent="0.3">
      <c r="D155" s="1"/>
      <c r="E155" s="1"/>
      <c r="F155" s="1"/>
    </row>
    <row r="156" spans="4:6" x14ac:dyDescent="0.3">
      <c r="D156" s="1"/>
      <c r="E156" s="1"/>
      <c r="F156" s="1"/>
    </row>
    <row r="157" spans="4:6" x14ac:dyDescent="0.3">
      <c r="D157" s="1"/>
      <c r="E157" s="1"/>
      <c r="F157" s="1"/>
    </row>
    <row r="158" spans="4:6" x14ac:dyDescent="0.3">
      <c r="D158" s="1"/>
      <c r="E158" s="1"/>
      <c r="F158" s="1"/>
    </row>
    <row r="159" spans="4:6" x14ac:dyDescent="0.3">
      <c r="D159" s="1"/>
      <c r="E159" s="1"/>
      <c r="F159" s="1"/>
    </row>
    <row r="160" spans="4:6" x14ac:dyDescent="0.3">
      <c r="D160" s="1"/>
      <c r="E160" s="1"/>
      <c r="F160" s="1"/>
    </row>
    <row r="161" spans="4:6" x14ac:dyDescent="0.3">
      <c r="D161" s="1"/>
      <c r="E161" s="1"/>
      <c r="F161" s="1"/>
    </row>
    <row r="162" spans="4:6" x14ac:dyDescent="0.3">
      <c r="D162" s="1"/>
      <c r="E162" s="1"/>
      <c r="F162" s="1"/>
    </row>
    <row r="163" spans="4:6" x14ac:dyDescent="0.3">
      <c r="D163" s="1"/>
      <c r="E163" s="1"/>
      <c r="F163" s="1"/>
    </row>
    <row r="164" spans="4:6" x14ac:dyDescent="0.3">
      <c r="D164" s="1"/>
      <c r="E164" s="1"/>
      <c r="F164" s="1"/>
    </row>
    <row r="165" spans="4:6" x14ac:dyDescent="0.3">
      <c r="D165" s="1"/>
      <c r="E165" s="1"/>
      <c r="F165" s="1"/>
    </row>
    <row r="166" spans="4:6" x14ac:dyDescent="0.3">
      <c r="D166" s="1"/>
      <c r="E166" s="1"/>
      <c r="F166" s="1"/>
    </row>
    <row r="167" spans="4:6" x14ac:dyDescent="0.3">
      <c r="D167" s="1"/>
      <c r="E167" s="1"/>
      <c r="F167" s="1"/>
    </row>
    <row r="168" spans="4:6" x14ac:dyDescent="0.3">
      <c r="D168" s="1"/>
      <c r="E168" s="1"/>
      <c r="F168" s="1"/>
    </row>
    <row r="169" spans="4:6" x14ac:dyDescent="0.3">
      <c r="D169" s="1"/>
      <c r="E169" s="1"/>
      <c r="F169" s="1"/>
    </row>
    <row r="170" spans="4:6" x14ac:dyDescent="0.3">
      <c r="D170" s="1"/>
      <c r="E170" s="1"/>
      <c r="F170" s="1"/>
    </row>
    <row r="171" spans="4:6" x14ac:dyDescent="0.3">
      <c r="D171" s="1"/>
      <c r="E171" s="1"/>
      <c r="F171" s="1"/>
    </row>
    <row r="172" spans="4:6" x14ac:dyDescent="0.3">
      <c r="D172" s="1"/>
      <c r="E172" s="1"/>
      <c r="F172" s="1"/>
    </row>
    <row r="173" spans="4:6" x14ac:dyDescent="0.3">
      <c r="D173" s="1"/>
      <c r="E173" s="1"/>
      <c r="F173" s="1"/>
    </row>
    <row r="174" spans="4:6" x14ac:dyDescent="0.3">
      <c r="D174" s="1"/>
      <c r="E174" s="1"/>
      <c r="F174" s="1"/>
    </row>
    <row r="175" spans="4:6" x14ac:dyDescent="0.3">
      <c r="D175" s="1"/>
      <c r="E175" s="1"/>
      <c r="F175" s="1"/>
    </row>
    <row r="176" spans="4:6" x14ac:dyDescent="0.3">
      <c r="D176" s="1"/>
      <c r="E176" s="1"/>
      <c r="F176" s="1"/>
    </row>
    <row r="177" spans="4:6" x14ac:dyDescent="0.3">
      <c r="D177" s="1"/>
      <c r="E177" s="1"/>
      <c r="F177" s="1"/>
    </row>
    <row r="178" spans="4:6" x14ac:dyDescent="0.3">
      <c r="D178" s="1"/>
      <c r="E178" s="1"/>
      <c r="F178" s="1"/>
    </row>
    <row r="179" spans="4:6" x14ac:dyDescent="0.3">
      <c r="D179" s="1"/>
      <c r="E179" s="1"/>
      <c r="F179" s="1"/>
    </row>
    <row r="180" spans="4:6" x14ac:dyDescent="0.3">
      <c r="D180" s="1"/>
      <c r="E180" s="1"/>
      <c r="F180" s="1"/>
    </row>
    <row r="181" spans="4:6" x14ac:dyDescent="0.3">
      <c r="D181" s="1"/>
      <c r="E181" s="1"/>
      <c r="F181" s="1"/>
    </row>
    <row r="182" spans="4:6" x14ac:dyDescent="0.3">
      <c r="D182" s="1"/>
      <c r="E182" s="1"/>
      <c r="F182" s="1"/>
    </row>
    <row r="183" spans="4:6" x14ac:dyDescent="0.3">
      <c r="D183" s="1"/>
      <c r="E183" s="1"/>
      <c r="F183" s="1"/>
    </row>
    <row r="184" spans="4:6" x14ac:dyDescent="0.3">
      <c r="D184" s="1"/>
      <c r="E184" s="1"/>
      <c r="F184" s="1"/>
    </row>
    <row r="185" spans="4:6" x14ac:dyDescent="0.3">
      <c r="D185" s="1"/>
      <c r="E185" s="1"/>
      <c r="F185" s="1"/>
    </row>
    <row r="186" spans="4:6" x14ac:dyDescent="0.3">
      <c r="D186" s="1"/>
      <c r="E186" s="1"/>
      <c r="F186" s="1"/>
    </row>
    <row r="187" spans="4:6" x14ac:dyDescent="0.3">
      <c r="D187" s="1"/>
      <c r="E187" s="1"/>
      <c r="F187" s="1"/>
    </row>
    <row r="188" spans="4:6" x14ac:dyDescent="0.3">
      <c r="D188" s="1"/>
      <c r="E188" s="1"/>
      <c r="F188" s="1"/>
    </row>
    <row r="189" spans="4:6" x14ac:dyDescent="0.3">
      <c r="D189" s="1"/>
      <c r="E189" s="1"/>
      <c r="F189" s="1"/>
    </row>
    <row r="190" spans="4:6" x14ac:dyDescent="0.3">
      <c r="D190" s="1"/>
      <c r="E190" s="1"/>
      <c r="F190" s="1"/>
    </row>
    <row r="191" spans="4:6" x14ac:dyDescent="0.3">
      <c r="D191" s="1"/>
      <c r="E191" s="1"/>
      <c r="F191" s="1"/>
    </row>
    <row r="192" spans="4:6" x14ac:dyDescent="0.3">
      <c r="D192" s="1"/>
      <c r="E192" s="1"/>
      <c r="F192" s="1"/>
    </row>
    <row r="193" spans="4:6" x14ac:dyDescent="0.3">
      <c r="D193" s="1"/>
      <c r="E193" s="1"/>
      <c r="F193" s="1"/>
    </row>
    <row r="194" spans="4:6" x14ac:dyDescent="0.3">
      <c r="D194" s="1"/>
      <c r="E194" s="1"/>
      <c r="F194" s="1"/>
    </row>
    <row r="195" spans="4:6" x14ac:dyDescent="0.3">
      <c r="D195" s="1"/>
      <c r="E195" s="1"/>
      <c r="F195" s="1"/>
    </row>
    <row r="196" spans="4:6" x14ac:dyDescent="0.3">
      <c r="D196" s="1"/>
      <c r="E196" s="1"/>
      <c r="F196" s="1"/>
    </row>
    <row r="197" spans="4:6" x14ac:dyDescent="0.3">
      <c r="D197" s="1"/>
      <c r="E197" s="1"/>
      <c r="F197" s="1"/>
    </row>
    <row r="198" spans="4:6" x14ac:dyDescent="0.3">
      <c r="D198" s="1"/>
      <c r="E198" s="1"/>
      <c r="F198" s="1"/>
    </row>
    <row r="199" spans="4:6" x14ac:dyDescent="0.3">
      <c r="D199" s="1"/>
      <c r="E199" s="1"/>
      <c r="F199" s="1"/>
    </row>
    <row r="200" spans="4:6" x14ac:dyDescent="0.3">
      <c r="D200" s="1"/>
      <c r="E200" s="1"/>
      <c r="F200" s="1"/>
    </row>
    <row r="201" spans="4:6" x14ac:dyDescent="0.3">
      <c r="D201" s="1"/>
      <c r="E201" s="1"/>
      <c r="F201" s="1"/>
    </row>
    <row r="202" spans="4:6" x14ac:dyDescent="0.3">
      <c r="D202" s="1"/>
      <c r="E202" s="1"/>
      <c r="F202" s="1"/>
    </row>
    <row r="203" spans="4:6" x14ac:dyDescent="0.3">
      <c r="D203" s="1"/>
      <c r="E203" s="1"/>
      <c r="F203" s="1"/>
    </row>
    <row r="204" spans="4:6" x14ac:dyDescent="0.3">
      <c r="D204" s="1"/>
      <c r="E204" s="1"/>
      <c r="F204" s="1"/>
    </row>
    <row r="205" spans="4:6" x14ac:dyDescent="0.3">
      <c r="D205" s="1"/>
      <c r="E205" s="1"/>
      <c r="F205" s="1"/>
    </row>
    <row r="206" spans="4:6" x14ac:dyDescent="0.3">
      <c r="D206" s="1"/>
      <c r="E206" s="1"/>
      <c r="F206" s="1"/>
    </row>
    <row r="207" spans="4:6" x14ac:dyDescent="0.3">
      <c r="D207" s="1"/>
      <c r="E207" s="1"/>
      <c r="F207" s="1"/>
    </row>
    <row r="208" spans="4:6" x14ac:dyDescent="0.3">
      <c r="D208" s="1"/>
      <c r="E208" s="1"/>
      <c r="F208" s="1"/>
    </row>
    <row r="209" spans="4:6" x14ac:dyDescent="0.3">
      <c r="D209" s="1"/>
      <c r="E209" s="1"/>
      <c r="F209" s="1"/>
    </row>
    <row r="210" spans="4:6" x14ac:dyDescent="0.3">
      <c r="D210" s="1"/>
      <c r="E210" s="1"/>
      <c r="F210" s="1"/>
    </row>
    <row r="211" spans="4:6" x14ac:dyDescent="0.3">
      <c r="D211" s="1"/>
      <c r="E211" s="1"/>
      <c r="F211" s="1"/>
    </row>
    <row r="212" spans="4:6" x14ac:dyDescent="0.3">
      <c r="D212" s="1"/>
      <c r="E212" s="1"/>
      <c r="F212" s="1"/>
    </row>
    <row r="213" spans="4:6" x14ac:dyDescent="0.3">
      <c r="D213" s="1"/>
      <c r="E213" s="1"/>
      <c r="F213" s="1"/>
    </row>
    <row r="214" spans="4:6" x14ac:dyDescent="0.3">
      <c r="D214" s="1"/>
      <c r="E214" s="1"/>
      <c r="F214" s="1"/>
    </row>
    <row r="215" spans="4:6" x14ac:dyDescent="0.3">
      <c r="D215" s="1"/>
      <c r="E215" s="1"/>
      <c r="F215" s="1"/>
    </row>
    <row r="216" spans="4:6" x14ac:dyDescent="0.3">
      <c r="D216" s="1"/>
      <c r="E216" s="1"/>
      <c r="F216" s="1"/>
    </row>
    <row r="217" spans="4:6" x14ac:dyDescent="0.3">
      <c r="D217" s="1"/>
      <c r="E217" s="1"/>
      <c r="F217" s="1"/>
    </row>
    <row r="218" spans="4:6" x14ac:dyDescent="0.3">
      <c r="D218" s="1"/>
      <c r="E218" s="1"/>
      <c r="F218" s="1"/>
    </row>
    <row r="219" spans="4:6" x14ac:dyDescent="0.3">
      <c r="D219" s="1"/>
      <c r="E219" s="1"/>
      <c r="F219" s="1"/>
    </row>
    <row r="220" spans="4:6" x14ac:dyDescent="0.3">
      <c r="D220" s="1"/>
      <c r="E220" s="1"/>
      <c r="F220" s="1"/>
    </row>
    <row r="221" spans="4:6" x14ac:dyDescent="0.3">
      <c r="D221" s="1"/>
      <c r="E221" s="1"/>
      <c r="F221" s="1"/>
    </row>
    <row r="222" spans="4:6" x14ac:dyDescent="0.3">
      <c r="D222" s="1"/>
      <c r="E222" s="1"/>
      <c r="F222" s="1"/>
    </row>
    <row r="223" spans="4:6" x14ac:dyDescent="0.3">
      <c r="D223" s="1"/>
      <c r="E223" s="1"/>
      <c r="F223" s="1"/>
    </row>
    <row r="224" spans="4:6" x14ac:dyDescent="0.3">
      <c r="D224" s="1"/>
      <c r="E224" s="1"/>
      <c r="F224" s="1"/>
    </row>
    <row r="225" spans="4:6" x14ac:dyDescent="0.3">
      <c r="D225" s="1"/>
      <c r="E225" s="1"/>
      <c r="F225" s="1"/>
    </row>
    <row r="226" spans="4:6" x14ac:dyDescent="0.3">
      <c r="D226" s="1"/>
      <c r="E226" s="1"/>
      <c r="F226" s="1"/>
    </row>
    <row r="227" spans="4:6" x14ac:dyDescent="0.3">
      <c r="D227" s="1"/>
      <c r="E227" s="1"/>
      <c r="F227" s="1"/>
    </row>
    <row r="228" spans="4:6" x14ac:dyDescent="0.3">
      <c r="D228" s="1"/>
      <c r="E228" s="1"/>
      <c r="F228" s="1"/>
    </row>
    <row r="229" spans="4:6" x14ac:dyDescent="0.3">
      <c r="D229" s="1"/>
      <c r="E229" s="1"/>
      <c r="F229" s="1"/>
    </row>
    <row r="230" spans="4:6" x14ac:dyDescent="0.3">
      <c r="D230" s="1"/>
      <c r="E230" s="1"/>
      <c r="F230" s="1"/>
    </row>
    <row r="231" spans="4:6" x14ac:dyDescent="0.3">
      <c r="D231" s="1"/>
      <c r="E231" s="1"/>
      <c r="F231" s="1"/>
    </row>
    <row r="232" spans="4:6" x14ac:dyDescent="0.3">
      <c r="D232" s="1"/>
      <c r="E232" s="1"/>
      <c r="F232" s="1"/>
    </row>
    <row r="233" spans="4:6" x14ac:dyDescent="0.3">
      <c r="D233" s="1"/>
      <c r="E233" s="1"/>
      <c r="F233" s="1"/>
    </row>
    <row r="234" spans="4:6" x14ac:dyDescent="0.3">
      <c r="D234" s="1"/>
      <c r="E234" s="1"/>
      <c r="F234" s="1"/>
    </row>
    <row r="235" spans="4:6" x14ac:dyDescent="0.3">
      <c r="D235" s="1"/>
      <c r="E235" s="1"/>
      <c r="F235" s="1"/>
    </row>
    <row r="236" spans="4:6" x14ac:dyDescent="0.3">
      <c r="D236" s="1"/>
      <c r="E236" s="1"/>
      <c r="F236" s="1"/>
    </row>
    <row r="237" spans="4:6" x14ac:dyDescent="0.3">
      <c r="D237" s="1"/>
      <c r="E237" s="1"/>
      <c r="F237" s="1"/>
    </row>
    <row r="238" spans="4:6" x14ac:dyDescent="0.3">
      <c r="D238" s="1"/>
      <c r="E238" s="1"/>
      <c r="F238" s="1"/>
    </row>
    <row r="239" spans="4:6" x14ac:dyDescent="0.3">
      <c r="D239" s="1"/>
      <c r="E239" s="1"/>
      <c r="F239" s="1"/>
    </row>
    <row r="240" spans="4:6" x14ac:dyDescent="0.3">
      <c r="D240" s="1"/>
      <c r="E240" s="1"/>
      <c r="F240" s="1"/>
    </row>
    <row r="241" spans="4:6" x14ac:dyDescent="0.3">
      <c r="D241" s="1"/>
      <c r="E241" s="1"/>
      <c r="F241" s="1"/>
    </row>
    <row r="242" spans="4:6" x14ac:dyDescent="0.3">
      <c r="D242" s="1"/>
      <c r="E242" s="1"/>
      <c r="F242" s="1"/>
    </row>
    <row r="243" spans="4:6" x14ac:dyDescent="0.3">
      <c r="D243" s="1"/>
      <c r="E243" s="1"/>
      <c r="F243" s="1"/>
    </row>
    <row r="244" spans="4:6" x14ac:dyDescent="0.3">
      <c r="D244" s="1"/>
      <c r="E244" s="1"/>
      <c r="F244" s="1"/>
    </row>
    <row r="245" spans="4:6" x14ac:dyDescent="0.3">
      <c r="D245" s="1"/>
      <c r="E245" s="1"/>
      <c r="F245" s="1"/>
    </row>
    <row r="246" spans="4:6" x14ac:dyDescent="0.3">
      <c r="D246" s="1"/>
      <c r="E246" s="1"/>
      <c r="F246" s="1"/>
    </row>
    <row r="247" spans="4:6" x14ac:dyDescent="0.3">
      <c r="D247" s="1"/>
      <c r="E247" s="1"/>
      <c r="F247" s="1"/>
    </row>
    <row r="248" spans="4:6" x14ac:dyDescent="0.3">
      <c r="D248" s="1"/>
      <c r="E248" s="1"/>
      <c r="F248" s="1"/>
    </row>
    <row r="249" spans="4:6" x14ac:dyDescent="0.3">
      <c r="D249" s="1"/>
      <c r="E249" s="1"/>
      <c r="F249" s="1"/>
    </row>
    <row r="250" spans="4:6" x14ac:dyDescent="0.3">
      <c r="D250" s="1"/>
      <c r="E250" s="1"/>
      <c r="F250" s="1"/>
    </row>
    <row r="251" spans="4:6" x14ac:dyDescent="0.3">
      <c r="D251" s="1"/>
      <c r="E251" s="1"/>
      <c r="F251" s="1"/>
    </row>
    <row r="252" spans="4:6" x14ac:dyDescent="0.3">
      <c r="D252" s="1"/>
      <c r="E252" s="1"/>
      <c r="F252" s="1"/>
    </row>
    <row r="253" spans="4:6" x14ac:dyDescent="0.3">
      <c r="D253" s="1"/>
      <c r="E253" s="1"/>
      <c r="F253" s="1"/>
    </row>
    <row r="254" spans="4:6" x14ac:dyDescent="0.3">
      <c r="D254" s="1"/>
      <c r="E254" s="1"/>
      <c r="F254" s="1"/>
    </row>
    <row r="255" spans="4:6" x14ac:dyDescent="0.3">
      <c r="D255" s="1"/>
      <c r="E255" s="1"/>
      <c r="F255" s="1"/>
    </row>
    <row r="256" spans="4:6" x14ac:dyDescent="0.3">
      <c r="D256" s="1"/>
      <c r="E256" s="1"/>
      <c r="F256" s="1"/>
    </row>
    <row r="257" spans="4:6" x14ac:dyDescent="0.3">
      <c r="D257" s="1"/>
      <c r="E257" s="1"/>
      <c r="F257" s="1"/>
    </row>
    <row r="258" spans="4:6" x14ac:dyDescent="0.3">
      <c r="D258" s="1"/>
      <c r="E258" s="1"/>
      <c r="F258" s="1"/>
    </row>
    <row r="259" spans="4:6" x14ac:dyDescent="0.3">
      <c r="D259" s="1"/>
      <c r="E259" s="1"/>
      <c r="F259" s="1"/>
    </row>
    <row r="260" spans="4:6" x14ac:dyDescent="0.3">
      <c r="D260" s="1"/>
      <c r="E260" s="1"/>
      <c r="F260" s="1"/>
    </row>
    <row r="261" spans="4:6" x14ac:dyDescent="0.3">
      <c r="D261" s="1"/>
      <c r="E261" s="1"/>
      <c r="F261" s="1"/>
    </row>
    <row r="262" spans="4:6" x14ac:dyDescent="0.3">
      <c r="D262" s="1"/>
      <c r="E262" s="1"/>
      <c r="F262" s="1"/>
    </row>
    <row r="263" spans="4:6" x14ac:dyDescent="0.3">
      <c r="D263" s="1"/>
      <c r="E263" s="1"/>
      <c r="F263" s="1"/>
    </row>
    <row r="264" spans="4:6" x14ac:dyDescent="0.3">
      <c r="D264" s="1"/>
      <c r="E264" s="1"/>
      <c r="F264" s="1"/>
    </row>
    <row r="265" spans="4:6" x14ac:dyDescent="0.3">
      <c r="D265" s="1"/>
      <c r="E265" s="1"/>
      <c r="F265" s="1"/>
    </row>
    <row r="266" spans="4:6" x14ac:dyDescent="0.3">
      <c r="D266" s="1"/>
      <c r="E266" s="1"/>
      <c r="F266" s="1"/>
    </row>
    <row r="267" spans="4:6" x14ac:dyDescent="0.3">
      <c r="D267" s="1"/>
      <c r="E267" s="1"/>
      <c r="F267" s="1"/>
    </row>
    <row r="268" spans="4:6" x14ac:dyDescent="0.3">
      <c r="D268" s="1"/>
      <c r="E268" s="1"/>
      <c r="F268" s="1"/>
    </row>
    <row r="269" spans="4:6" x14ac:dyDescent="0.3">
      <c r="D269" s="1"/>
      <c r="E269" s="1"/>
      <c r="F269" s="1"/>
    </row>
    <row r="270" spans="4:6" x14ac:dyDescent="0.3">
      <c r="D270" s="1"/>
      <c r="E270" s="1"/>
      <c r="F270" s="1"/>
    </row>
    <row r="271" spans="4:6" x14ac:dyDescent="0.3">
      <c r="D271" s="1"/>
      <c r="E271" s="1"/>
      <c r="F271" s="1"/>
    </row>
    <row r="272" spans="4:6" x14ac:dyDescent="0.3">
      <c r="D272" s="1"/>
      <c r="E272" s="1"/>
      <c r="F272" s="1"/>
    </row>
    <row r="273" spans="4:6" x14ac:dyDescent="0.3">
      <c r="D273" s="1"/>
      <c r="E273" s="1"/>
      <c r="F273" s="1"/>
    </row>
    <row r="274" spans="4:6" x14ac:dyDescent="0.3">
      <c r="D274" s="1"/>
      <c r="E274" s="1"/>
      <c r="F274" s="1"/>
    </row>
    <row r="275" spans="4:6" x14ac:dyDescent="0.3">
      <c r="D275" s="1"/>
      <c r="E275" s="1"/>
      <c r="F275" s="1"/>
    </row>
    <row r="276" spans="4:6" x14ac:dyDescent="0.3">
      <c r="D276" s="1"/>
      <c r="E276" s="1"/>
      <c r="F276" s="1"/>
    </row>
    <row r="277" spans="4:6" x14ac:dyDescent="0.3">
      <c r="D277" s="1"/>
      <c r="E277" s="1"/>
      <c r="F277" s="1"/>
    </row>
    <row r="278" spans="4:6" x14ac:dyDescent="0.3">
      <c r="D278" s="1"/>
      <c r="E278" s="1"/>
      <c r="F278" s="1"/>
    </row>
    <row r="279" spans="4:6" x14ac:dyDescent="0.3">
      <c r="D279" s="1"/>
      <c r="E279" s="1"/>
      <c r="F279" s="1"/>
    </row>
    <row r="280" spans="4:6" x14ac:dyDescent="0.3">
      <c r="D280" s="1"/>
      <c r="E280" s="1"/>
      <c r="F280" s="1"/>
    </row>
    <row r="281" spans="4:6" x14ac:dyDescent="0.3">
      <c r="D281" s="1"/>
      <c r="E281" s="1"/>
      <c r="F281" s="1"/>
    </row>
    <row r="282" spans="4:6" x14ac:dyDescent="0.3">
      <c r="D282" s="1"/>
      <c r="E282" s="1"/>
      <c r="F282" s="1"/>
    </row>
    <row r="283" spans="4:6" x14ac:dyDescent="0.3">
      <c r="D283" s="1"/>
      <c r="E283" s="1"/>
      <c r="F283" s="1"/>
    </row>
    <row r="284" spans="4:6" x14ac:dyDescent="0.3">
      <c r="D284" s="1"/>
      <c r="E284" s="1"/>
      <c r="F284" s="1"/>
    </row>
    <row r="285" spans="4:6" x14ac:dyDescent="0.3">
      <c r="D285" s="1"/>
      <c r="E285" s="1"/>
      <c r="F285" s="1"/>
    </row>
    <row r="286" spans="4:6" x14ac:dyDescent="0.3">
      <c r="D286" s="1"/>
      <c r="E286" s="1"/>
      <c r="F286" s="1"/>
    </row>
    <row r="287" spans="4:6" x14ac:dyDescent="0.3">
      <c r="D287" s="1"/>
      <c r="E287" s="1"/>
      <c r="F287" s="1"/>
    </row>
    <row r="288" spans="4:6" x14ac:dyDescent="0.3">
      <c r="D288" s="1"/>
      <c r="E288" s="1"/>
      <c r="F288" s="1"/>
    </row>
    <row r="289" spans="4:6" x14ac:dyDescent="0.3">
      <c r="D289" s="1"/>
      <c r="E289" s="1"/>
      <c r="F289" s="1"/>
    </row>
    <row r="290" spans="4:6" x14ac:dyDescent="0.3">
      <c r="D290" s="1"/>
      <c r="E290" s="1"/>
      <c r="F290" s="1"/>
    </row>
    <row r="291" spans="4:6" x14ac:dyDescent="0.3">
      <c r="D291" s="1"/>
      <c r="E291" s="1"/>
      <c r="F291" s="1"/>
    </row>
    <row r="292" spans="4:6" x14ac:dyDescent="0.3">
      <c r="D292" s="1"/>
      <c r="E292" s="1"/>
      <c r="F292" s="1"/>
    </row>
    <row r="293" spans="4:6" x14ac:dyDescent="0.3">
      <c r="D293" s="1"/>
      <c r="E293" s="1"/>
      <c r="F293" s="1"/>
    </row>
    <row r="294" spans="4:6" x14ac:dyDescent="0.3">
      <c r="D294" s="1"/>
      <c r="E294" s="1"/>
      <c r="F294" s="1"/>
    </row>
    <row r="295" spans="4:6" x14ac:dyDescent="0.3">
      <c r="D295" s="1"/>
      <c r="E295" s="1"/>
      <c r="F295" s="1"/>
    </row>
    <row r="296" spans="4:6" x14ac:dyDescent="0.3">
      <c r="D296" s="1"/>
      <c r="E296" s="1"/>
      <c r="F296" s="1"/>
    </row>
    <row r="297" spans="4:6" x14ac:dyDescent="0.3">
      <c r="D297" s="1"/>
      <c r="E297" s="1"/>
      <c r="F297" s="1"/>
    </row>
    <row r="298" spans="4:6" x14ac:dyDescent="0.3">
      <c r="D298" s="1"/>
      <c r="E298" s="1"/>
      <c r="F298" s="1"/>
    </row>
    <row r="299" spans="4:6" x14ac:dyDescent="0.3">
      <c r="D299" s="1"/>
      <c r="E299" s="1"/>
      <c r="F299" s="1"/>
    </row>
    <row r="300" spans="4:6" x14ac:dyDescent="0.3">
      <c r="D300" s="1"/>
      <c r="E300" s="1"/>
      <c r="F300" s="1"/>
    </row>
    <row r="301" spans="4:6" x14ac:dyDescent="0.3">
      <c r="D301" s="1"/>
      <c r="E301" s="1"/>
      <c r="F301" s="1"/>
    </row>
    <row r="302" spans="4:6" x14ac:dyDescent="0.3">
      <c r="D302" s="1"/>
      <c r="E302" s="1"/>
      <c r="F302" s="1"/>
    </row>
    <row r="303" spans="4:6" x14ac:dyDescent="0.3">
      <c r="D303" s="1"/>
      <c r="E303" s="1"/>
      <c r="F303" s="1"/>
    </row>
    <row r="304" spans="4:6" x14ac:dyDescent="0.3">
      <c r="D304" s="1"/>
      <c r="E304" s="1"/>
      <c r="F304" s="1"/>
    </row>
    <row r="305" spans="4:6" x14ac:dyDescent="0.3">
      <c r="D305" s="1"/>
      <c r="E305" s="1"/>
      <c r="F305" s="1"/>
    </row>
    <row r="306" spans="4:6" x14ac:dyDescent="0.3">
      <c r="D306" s="1"/>
      <c r="E306" s="1"/>
      <c r="F306" s="1"/>
    </row>
    <row r="307" spans="4:6" x14ac:dyDescent="0.3">
      <c r="D307" s="1"/>
      <c r="E307" s="1"/>
      <c r="F307" s="1"/>
    </row>
    <row r="308" spans="4:6" x14ac:dyDescent="0.3">
      <c r="D308" s="1"/>
      <c r="E308" s="1"/>
      <c r="F308" s="1"/>
    </row>
    <row r="309" spans="4:6" x14ac:dyDescent="0.3">
      <c r="D309" s="1"/>
      <c r="E309" s="1"/>
      <c r="F309" s="1"/>
    </row>
    <row r="310" spans="4:6" x14ac:dyDescent="0.3">
      <c r="D310" s="1"/>
      <c r="E310" s="1"/>
      <c r="F310" s="1"/>
    </row>
    <row r="311" spans="4:6" x14ac:dyDescent="0.3">
      <c r="D311" s="1"/>
      <c r="E311" s="1"/>
      <c r="F311" s="1"/>
    </row>
    <row r="312" spans="4:6" x14ac:dyDescent="0.3">
      <c r="D312" s="1"/>
      <c r="E312" s="1"/>
      <c r="F312" s="1"/>
    </row>
    <row r="313" spans="4:6" x14ac:dyDescent="0.3">
      <c r="D313" s="1"/>
      <c r="E313" s="1"/>
      <c r="F313" s="1"/>
    </row>
    <row r="314" spans="4:6" x14ac:dyDescent="0.3">
      <c r="D314" s="1"/>
      <c r="E314" s="1"/>
      <c r="F314" s="1"/>
    </row>
    <row r="315" spans="4:6" x14ac:dyDescent="0.3">
      <c r="D315" s="1"/>
      <c r="E315" s="1"/>
      <c r="F315" s="1"/>
    </row>
    <row r="316" spans="4:6" x14ac:dyDescent="0.3">
      <c r="D316" s="1"/>
      <c r="E316" s="1"/>
      <c r="F316" s="1"/>
    </row>
    <row r="317" spans="4:6" x14ac:dyDescent="0.3">
      <c r="D317" s="1"/>
      <c r="E317" s="1"/>
      <c r="F317" s="1"/>
    </row>
    <row r="318" spans="4:6" x14ac:dyDescent="0.3">
      <c r="D318" s="1"/>
      <c r="E318" s="1"/>
      <c r="F318" s="1"/>
    </row>
    <row r="319" spans="4:6" x14ac:dyDescent="0.3">
      <c r="D319" s="1"/>
      <c r="E319" s="1"/>
      <c r="F319" s="1"/>
    </row>
    <row r="320" spans="4:6" x14ac:dyDescent="0.3">
      <c r="D320" s="1"/>
      <c r="E320" s="1"/>
      <c r="F320" s="1"/>
    </row>
    <row r="321" spans="4:6" x14ac:dyDescent="0.3">
      <c r="D321" s="1"/>
      <c r="E321" s="1"/>
      <c r="F321" s="1"/>
    </row>
    <row r="322" spans="4:6" x14ac:dyDescent="0.3">
      <c r="D322" s="1"/>
      <c r="E322" s="1"/>
      <c r="F322" s="1"/>
    </row>
    <row r="323" spans="4:6" x14ac:dyDescent="0.3">
      <c r="D323" s="1"/>
      <c r="E323" s="1"/>
      <c r="F323" s="1"/>
    </row>
    <row r="324" spans="4:6" x14ac:dyDescent="0.3">
      <c r="D324" s="1"/>
      <c r="E324" s="1"/>
      <c r="F324" s="1"/>
    </row>
    <row r="325" spans="4:6" x14ac:dyDescent="0.3">
      <c r="D325" s="1"/>
      <c r="E325" s="1"/>
      <c r="F325" s="1"/>
    </row>
    <row r="326" spans="4:6" x14ac:dyDescent="0.3">
      <c r="D326" s="1"/>
      <c r="E326" s="1"/>
      <c r="F326" s="1"/>
    </row>
    <row r="327" spans="4:6" x14ac:dyDescent="0.3">
      <c r="D327" s="1"/>
      <c r="E327" s="1"/>
      <c r="F327" s="1"/>
    </row>
    <row r="328" spans="4:6" x14ac:dyDescent="0.3">
      <c r="D328" s="1"/>
      <c r="E328" s="1"/>
      <c r="F328" s="1"/>
    </row>
    <row r="329" spans="4:6" x14ac:dyDescent="0.3">
      <c r="D329" s="1"/>
      <c r="E329" s="1"/>
      <c r="F329" s="1"/>
    </row>
    <row r="330" spans="4:6" x14ac:dyDescent="0.3">
      <c r="D330" s="1"/>
      <c r="E330" s="1"/>
      <c r="F330" s="1"/>
    </row>
    <row r="331" spans="4:6" x14ac:dyDescent="0.3">
      <c r="D331" s="1"/>
      <c r="E331" s="1"/>
      <c r="F331" s="1"/>
    </row>
    <row r="332" spans="4:6" x14ac:dyDescent="0.3">
      <c r="D332" s="1"/>
      <c r="E332" s="1"/>
      <c r="F332" s="1"/>
    </row>
    <row r="333" spans="4:6" x14ac:dyDescent="0.3">
      <c r="D333" s="1"/>
      <c r="E333" s="1"/>
      <c r="F333" s="1"/>
    </row>
    <row r="334" spans="4:6" x14ac:dyDescent="0.3">
      <c r="D334" s="1"/>
      <c r="E334" s="1"/>
      <c r="F334" s="1"/>
    </row>
    <row r="335" spans="4:6" x14ac:dyDescent="0.3">
      <c r="D335" s="1"/>
      <c r="E335" s="1"/>
      <c r="F335" s="1"/>
    </row>
    <row r="336" spans="4:6" x14ac:dyDescent="0.3">
      <c r="D336" s="1"/>
      <c r="E336" s="1"/>
      <c r="F336" s="1"/>
    </row>
    <row r="337" spans="4:6" x14ac:dyDescent="0.3">
      <c r="D337" s="1"/>
      <c r="E337" s="1"/>
      <c r="F337" s="1"/>
    </row>
    <row r="338" spans="4:6" x14ac:dyDescent="0.3">
      <c r="D338" s="1"/>
      <c r="E338" s="1"/>
      <c r="F338" s="1"/>
    </row>
    <row r="339" spans="4:6" x14ac:dyDescent="0.3">
      <c r="D339" s="1"/>
      <c r="E339" s="1"/>
      <c r="F339" s="1"/>
    </row>
    <row r="340" spans="4:6" x14ac:dyDescent="0.3">
      <c r="D340" s="1"/>
      <c r="E340" s="1"/>
      <c r="F340" s="1"/>
    </row>
    <row r="341" spans="4:6" x14ac:dyDescent="0.3">
      <c r="D341" s="1"/>
      <c r="E341" s="1"/>
      <c r="F341" s="1"/>
    </row>
    <row r="342" spans="4:6" x14ac:dyDescent="0.3">
      <c r="D342" s="1"/>
      <c r="E342" s="1"/>
      <c r="F342" s="1"/>
    </row>
    <row r="343" spans="4:6" x14ac:dyDescent="0.3">
      <c r="D343" s="1"/>
      <c r="E343" s="1"/>
      <c r="F343" s="1"/>
    </row>
    <row r="344" spans="4:6" x14ac:dyDescent="0.3">
      <c r="D344" s="1"/>
      <c r="E344" s="1"/>
      <c r="F344" s="1"/>
    </row>
    <row r="345" spans="4:6" x14ac:dyDescent="0.3">
      <c r="D345" s="1"/>
      <c r="E345" s="1"/>
      <c r="F345" s="1"/>
    </row>
    <row r="346" spans="4:6" x14ac:dyDescent="0.3">
      <c r="D346" s="1"/>
      <c r="E346" s="1"/>
      <c r="F346" s="1"/>
    </row>
    <row r="347" spans="4:6" x14ac:dyDescent="0.3">
      <c r="D347" s="1"/>
      <c r="E347" s="1"/>
      <c r="F347" s="1"/>
    </row>
    <row r="348" spans="4:6" x14ac:dyDescent="0.3">
      <c r="D348" s="1"/>
      <c r="E348" s="1"/>
      <c r="F348" s="1"/>
    </row>
    <row r="349" spans="4:6" x14ac:dyDescent="0.3">
      <c r="D349" s="1"/>
      <c r="E349" s="1"/>
      <c r="F349" s="1"/>
    </row>
    <row r="350" spans="4:6" x14ac:dyDescent="0.3">
      <c r="D350" s="1"/>
      <c r="E350" s="1"/>
      <c r="F350" s="1"/>
    </row>
    <row r="351" spans="4:6" x14ac:dyDescent="0.3">
      <c r="D351" s="1"/>
      <c r="E351" s="1"/>
      <c r="F351" s="1"/>
    </row>
    <row r="352" spans="4:6" x14ac:dyDescent="0.3">
      <c r="D352" s="1"/>
      <c r="E352" s="1"/>
      <c r="F352" s="1"/>
    </row>
    <row r="353" spans="4:6" x14ac:dyDescent="0.3">
      <c r="D353" s="1"/>
      <c r="E353" s="1"/>
      <c r="F353" s="1"/>
    </row>
    <row r="354" spans="4:6" x14ac:dyDescent="0.3">
      <c r="D354" s="1"/>
      <c r="E354" s="1"/>
      <c r="F354" s="1"/>
    </row>
    <row r="355" spans="4:6" x14ac:dyDescent="0.3">
      <c r="D355" s="1"/>
      <c r="E355" s="1"/>
      <c r="F355" s="1"/>
    </row>
    <row r="356" spans="4:6" x14ac:dyDescent="0.3">
      <c r="D356" s="1"/>
      <c r="E356" s="1"/>
      <c r="F356" s="1"/>
    </row>
    <row r="357" spans="4:6" x14ac:dyDescent="0.3">
      <c r="D357" s="1"/>
      <c r="E357" s="1"/>
      <c r="F357" s="1"/>
    </row>
    <row r="358" spans="4:6" x14ac:dyDescent="0.3">
      <c r="D358" s="1"/>
      <c r="E358" s="1"/>
      <c r="F358" s="1"/>
    </row>
    <row r="359" spans="4:6" x14ac:dyDescent="0.3">
      <c r="D359" s="1"/>
      <c r="E359" s="1"/>
      <c r="F359" s="1"/>
    </row>
    <row r="360" spans="4:6" x14ac:dyDescent="0.3">
      <c r="D360" s="1"/>
      <c r="E360" s="1"/>
      <c r="F360" s="1"/>
    </row>
    <row r="361" spans="4:6" x14ac:dyDescent="0.3">
      <c r="D361" s="1"/>
      <c r="E361" s="1"/>
      <c r="F361" s="1"/>
    </row>
    <row r="362" spans="4:6" x14ac:dyDescent="0.3">
      <c r="D362" s="1"/>
      <c r="E362" s="1"/>
      <c r="F362" s="1"/>
    </row>
    <row r="363" spans="4:6" x14ac:dyDescent="0.3">
      <c r="D363" s="1"/>
      <c r="E363" s="1"/>
      <c r="F363" s="1"/>
    </row>
    <row r="364" spans="4:6" x14ac:dyDescent="0.3">
      <c r="D364" s="1"/>
      <c r="E364" s="1"/>
      <c r="F364" s="1"/>
    </row>
    <row r="365" spans="4:6" x14ac:dyDescent="0.3">
      <c r="D365" s="1"/>
      <c r="E365" s="1"/>
      <c r="F365" s="1"/>
    </row>
    <row r="366" spans="4:6" x14ac:dyDescent="0.3">
      <c r="D366" s="1"/>
      <c r="E366" s="1"/>
      <c r="F366" s="1"/>
    </row>
    <row r="367" spans="4:6" x14ac:dyDescent="0.3">
      <c r="D367" s="1"/>
      <c r="E367" s="1"/>
      <c r="F367" s="1"/>
    </row>
    <row r="368" spans="4:6" x14ac:dyDescent="0.3">
      <c r="D368" s="1"/>
      <c r="E368" s="1"/>
      <c r="F368" s="1"/>
    </row>
    <row r="369" spans="4:6" x14ac:dyDescent="0.3">
      <c r="D369" s="1"/>
      <c r="E369" s="1"/>
      <c r="F369" s="1"/>
    </row>
    <row r="370" spans="4:6" x14ac:dyDescent="0.3">
      <c r="D370" s="1"/>
      <c r="E370" s="1"/>
      <c r="F370" s="1"/>
    </row>
    <row r="371" spans="4:6" x14ac:dyDescent="0.3">
      <c r="D371" s="1"/>
      <c r="E371" s="1"/>
      <c r="F371" s="1"/>
    </row>
    <row r="372" spans="4:6" x14ac:dyDescent="0.3">
      <c r="D372" s="1"/>
      <c r="E372" s="1"/>
      <c r="F372" s="1"/>
    </row>
    <row r="373" spans="4:6" x14ac:dyDescent="0.3">
      <c r="D373" s="1"/>
      <c r="E373" s="1"/>
      <c r="F373" s="1"/>
    </row>
    <row r="374" spans="4:6" x14ac:dyDescent="0.3">
      <c r="D374" s="1"/>
      <c r="E374" s="1"/>
      <c r="F374" s="1"/>
    </row>
    <row r="375" spans="4:6" x14ac:dyDescent="0.3">
      <c r="D375" s="1"/>
      <c r="E375" s="1"/>
      <c r="F375" s="1"/>
    </row>
    <row r="376" spans="4:6" x14ac:dyDescent="0.3">
      <c r="D376" s="1"/>
      <c r="E376" s="1"/>
      <c r="F376" s="1"/>
    </row>
    <row r="377" spans="4:6" x14ac:dyDescent="0.3">
      <c r="D377" s="1"/>
      <c r="E377" s="1"/>
      <c r="F377" s="1"/>
    </row>
    <row r="378" spans="4:6" x14ac:dyDescent="0.3">
      <c r="D378" s="1"/>
      <c r="E378" s="1"/>
      <c r="F378" s="1"/>
    </row>
    <row r="379" spans="4:6" x14ac:dyDescent="0.3">
      <c r="D379" s="1"/>
      <c r="E379" s="1"/>
      <c r="F379" s="1"/>
    </row>
    <row r="380" spans="4:6" x14ac:dyDescent="0.3">
      <c r="D380" s="1"/>
      <c r="E380" s="1"/>
      <c r="F380" s="1"/>
    </row>
    <row r="381" spans="4:6" x14ac:dyDescent="0.3">
      <c r="D381" s="1"/>
      <c r="E381" s="1"/>
      <c r="F381" s="1"/>
    </row>
    <row r="382" spans="4:6" x14ac:dyDescent="0.3">
      <c r="D382" s="1"/>
      <c r="E382" s="1"/>
      <c r="F382" s="1"/>
    </row>
    <row r="383" spans="4:6" x14ac:dyDescent="0.3">
      <c r="D383" s="1"/>
      <c r="E383" s="1"/>
      <c r="F383" s="1"/>
    </row>
    <row r="384" spans="4:6" x14ac:dyDescent="0.3">
      <c r="D384" s="1"/>
      <c r="E384" s="1"/>
      <c r="F384" s="1"/>
    </row>
    <row r="385" spans="4:6" x14ac:dyDescent="0.3">
      <c r="D385" s="1"/>
      <c r="E385" s="1"/>
      <c r="F385" s="1"/>
    </row>
    <row r="386" spans="4:6" x14ac:dyDescent="0.3">
      <c r="D386" s="1"/>
      <c r="E386" s="1"/>
      <c r="F386" s="1"/>
    </row>
    <row r="387" spans="4:6" x14ac:dyDescent="0.3">
      <c r="D387" s="1"/>
      <c r="E387" s="1"/>
      <c r="F387" s="1"/>
    </row>
    <row r="388" spans="4:6" x14ac:dyDescent="0.3">
      <c r="D388" s="1"/>
      <c r="E388" s="1"/>
      <c r="F388" s="1"/>
    </row>
    <row r="389" spans="4:6" x14ac:dyDescent="0.3">
      <c r="D389" s="1"/>
      <c r="E389" s="1"/>
      <c r="F389" s="1"/>
    </row>
    <row r="390" spans="4:6" x14ac:dyDescent="0.3">
      <c r="D390" s="1"/>
      <c r="E390" s="1"/>
      <c r="F390" s="1"/>
    </row>
    <row r="391" spans="4:6" x14ac:dyDescent="0.3">
      <c r="D391" s="1"/>
      <c r="E391" s="1"/>
      <c r="F391" s="1"/>
    </row>
    <row r="392" spans="4:6" x14ac:dyDescent="0.3">
      <c r="D392" s="1"/>
      <c r="E392" s="1"/>
      <c r="F392" s="1"/>
    </row>
    <row r="393" spans="4:6" x14ac:dyDescent="0.3">
      <c r="D393" s="1"/>
      <c r="E393" s="1"/>
      <c r="F393" s="1"/>
    </row>
    <row r="394" spans="4:6" x14ac:dyDescent="0.3">
      <c r="D394" s="1"/>
      <c r="E394" s="1"/>
      <c r="F394" s="1"/>
    </row>
    <row r="395" spans="4:6" x14ac:dyDescent="0.3">
      <c r="D395" s="1"/>
      <c r="E395" s="1"/>
      <c r="F395" s="1"/>
    </row>
    <row r="396" spans="4:6" x14ac:dyDescent="0.3">
      <c r="D396" s="1"/>
      <c r="E396" s="1"/>
      <c r="F396" s="1"/>
    </row>
    <row r="397" spans="4:6" x14ac:dyDescent="0.3">
      <c r="D397" s="1"/>
      <c r="E397" s="1"/>
      <c r="F397" s="1"/>
    </row>
    <row r="398" spans="4:6" x14ac:dyDescent="0.3">
      <c r="D398" s="1"/>
      <c r="E398" s="1"/>
      <c r="F398" s="1"/>
    </row>
    <row r="399" spans="4:6" x14ac:dyDescent="0.3">
      <c r="D399" s="1"/>
      <c r="E399" s="1"/>
      <c r="F399" s="1"/>
    </row>
    <row r="400" spans="4:6" x14ac:dyDescent="0.3">
      <c r="D400" s="1"/>
      <c r="E400" s="1"/>
      <c r="F400" s="1"/>
    </row>
    <row r="401" spans="4:6" x14ac:dyDescent="0.3">
      <c r="D401" s="1"/>
      <c r="E401" s="1"/>
      <c r="F401" s="1"/>
    </row>
    <row r="402" spans="4:6" x14ac:dyDescent="0.3">
      <c r="D402" s="1"/>
      <c r="E402" s="1"/>
      <c r="F402" s="1"/>
    </row>
    <row r="403" spans="4:6" x14ac:dyDescent="0.3">
      <c r="D403" s="1"/>
      <c r="E403" s="1"/>
      <c r="F403" s="1"/>
    </row>
    <row r="404" spans="4:6" x14ac:dyDescent="0.3">
      <c r="D404" s="1"/>
      <c r="E404" s="1"/>
      <c r="F404" s="1"/>
    </row>
    <row r="405" spans="4:6" x14ac:dyDescent="0.3">
      <c r="D405" s="1"/>
      <c r="E405" s="1"/>
      <c r="F405" s="1"/>
    </row>
    <row r="406" spans="4:6" x14ac:dyDescent="0.3">
      <c r="D406" s="1"/>
      <c r="E406" s="1"/>
      <c r="F406" s="1"/>
    </row>
    <row r="407" spans="4:6" x14ac:dyDescent="0.3">
      <c r="D407" s="1"/>
      <c r="E407" s="1"/>
      <c r="F407" s="1"/>
    </row>
    <row r="408" spans="4:6" x14ac:dyDescent="0.3">
      <c r="D408" s="1"/>
      <c r="E408" s="1"/>
      <c r="F408" s="1"/>
    </row>
    <row r="409" spans="4:6" x14ac:dyDescent="0.3">
      <c r="D409" s="1"/>
      <c r="E409" s="1"/>
      <c r="F409" s="1"/>
    </row>
    <row r="410" spans="4:6" x14ac:dyDescent="0.3">
      <c r="D410" s="1"/>
      <c r="E410" s="1"/>
      <c r="F410" s="1"/>
    </row>
    <row r="411" spans="4:6" x14ac:dyDescent="0.3">
      <c r="D411" s="1"/>
      <c r="E411" s="1"/>
      <c r="F411" s="1"/>
    </row>
    <row r="412" spans="4:6" x14ac:dyDescent="0.3">
      <c r="D412" s="1"/>
      <c r="E412" s="1"/>
      <c r="F412" s="1"/>
    </row>
    <row r="413" spans="4:6" x14ac:dyDescent="0.3">
      <c r="D413" s="1"/>
      <c r="E413" s="1"/>
      <c r="F413" s="1"/>
    </row>
    <row r="414" spans="4:6" x14ac:dyDescent="0.3">
      <c r="D414" s="1"/>
      <c r="E414" s="1"/>
      <c r="F414" s="1"/>
    </row>
    <row r="415" spans="4:6" x14ac:dyDescent="0.3">
      <c r="D415" s="1"/>
      <c r="E415" s="1"/>
      <c r="F415" s="1"/>
    </row>
    <row r="416" spans="4:6" x14ac:dyDescent="0.3">
      <c r="D416" s="1"/>
      <c r="E416" s="1"/>
      <c r="F416" s="1"/>
    </row>
    <row r="417" spans="4:6" x14ac:dyDescent="0.3">
      <c r="D417" s="1"/>
      <c r="E417" s="1"/>
      <c r="F417" s="1"/>
    </row>
    <row r="418" spans="4:6" x14ac:dyDescent="0.3">
      <c r="D418" s="1"/>
      <c r="E418" s="1"/>
      <c r="F418" s="1"/>
    </row>
    <row r="419" spans="4:6" x14ac:dyDescent="0.3">
      <c r="D419" s="1"/>
      <c r="E419" s="1"/>
      <c r="F419" s="1"/>
    </row>
    <row r="420" spans="4:6" x14ac:dyDescent="0.3">
      <c r="D420" s="1"/>
      <c r="E420" s="1"/>
      <c r="F420" s="1"/>
    </row>
    <row r="421" spans="4:6" x14ac:dyDescent="0.3">
      <c r="D421" s="1"/>
      <c r="E421" s="1"/>
      <c r="F421" s="1"/>
    </row>
    <row r="422" spans="4:6" x14ac:dyDescent="0.3">
      <c r="D422" s="1"/>
      <c r="E422" s="1"/>
      <c r="F422" s="1"/>
    </row>
    <row r="423" spans="4:6" x14ac:dyDescent="0.3">
      <c r="D423" s="1"/>
      <c r="E423" s="1"/>
      <c r="F423" s="1"/>
    </row>
    <row r="424" spans="4:6" x14ac:dyDescent="0.3">
      <c r="D424" s="1"/>
      <c r="E424" s="1"/>
      <c r="F424" s="1"/>
    </row>
    <row r="425" spans="4:6" x14ac:dyDescent="0.3">
      <c r="D425" s="1"/>
      <c r="E425" s="1"/>
      <c r="F425" s="1"/>
    </row>
    <row r="426" spans="4:6" x14ac:dyDescent="0.3">
      <c r="D426" s="1"/>
      <c r="E426" s="1"/>
      <c r="F426" s="1"/>
    </row>
    <row r="427" spans="4:6" x14ac:dyDescent="0.3">
      <c r="D427" s="1"/>
      <c r="E427" s="1"/>
      <c r="F427" s="1"/>
    </row>
    <row r="428" spans="4:6" x14ac:dyDescent="0.3">
      <c r="D428" s="1"/>
      <c r="E428" s="1"/>
      <c r="F428" s="1"/>
    </row>
    <row r="429" spans="4:6" x14ac:dyDescent="0.3">
      <c r="D429" s="1"/>
      <c r="E429" s="1"/>
      <c r="F429" s="1"/>
    </row>
    <row r="430" spans="4:6" x14ac:dyDescent="0.3">
      <c r="D430" s="1"/>
      <c r="E430" s="1"/>
      <c r="F430" s="1"/>
    </row>
    <row r="431" spans="4:6" x14ac:dyDescent="0.3">
      <c r="D431" s="1"/>
      <c r="E431" s="1"/>
      <c r="F431" s="1"/>
    </row>
    <row r="432" spans="4:6" x14ac:dyDescent="0.3">
      <c r="D432" s="1"/>
      <c r="E432" s="1"/>
      <c r="F432" s="1"/>
    </row>
    <row r="433" spans="4:6" x14ac:dyDescent="0.3">
      <c r="D433" s="1"/>
      <c r="E433" s="1"/>
      <c r="F433" s="1"/>
    </row>
    <row r="434" spans="4:6" x14ac:dyDescent="0.3">
      <c r="D434" s="1"/>
      <c r="E434" s="1"/>
      <c r="F434" s="1"/>
    </row>
    <row r="435" spans="4:6" x14ac:dyDescent="0.3">
      <c r="D435" s="1"/>
      <c r="E435" s="1"/>
      <c r="F435" s="1"/>
    </row>
    <row r="436" spans="4:6" x14ac:dyDescent="0.3">
      <c r="D436" s="1"/>
      <c r="E436" s="1"/>
      <c r="F436" s="1"/>
    </row>
    <row r="437" spans="4:6" x14ac:dyDescent="0.3">
      <c r="D437" s="1"/>
      <c r="E437" s="1"/>
      <c r="F437" s="1"/>
    </row>
    <row r="438" spans="4:6" x14ac:dyDescent="0.3">
      <c r="D438" s="1"/>
      <c r="E438" s="1"/>
      <c r="F438" s="1"/>
    </row>
    <row r="439" spans="4:6" x14ac:dyDescent="0.3">
      <c r="D439" s="1"/>
      <c r="E439" s="1"/>
      <c r="F439" s="1"/>
    </row>
    <row r="440" spans="4:6" x14ac:dyDescent="0.3">
      <c r="D440" s="1"/>
      <c r="E440" s="1"/>
      <c r="F440" s="1"/>
    </row>
    <row r="441" spans="4:6" x14ac:dyDescent="0.3">
      <c r="D441" s="1"/>
      <c r="E441" s="1"/>
      <c r="F441" s="1"/>
    </row>
    <row r="442" spans="4:6" x14ac:dyDescent="0.3">
      <c r="D442" s="1"/>
      <c r="E442" s="1"/>
      <c r="F442" s="1"/>
    </row>
    <row r="443" spans="4:6" x14ac:dyDescent="0.3">
      <c r="D443" s="1"/>
      <c r="E443" s="1"/>
      <c r="F443" s="1"/>
    </row>
    <row r="444" spans="4:6" x14ac:dyDescent="0.3">
      <c r="D444" s="1"/>
      <c r="E444" s="1"/>
      <c r="F444" s="1"/>
    </row>
    <row r="445" spans="4:6" x14ac:dyDescent="0.3">
      <c r="D445" s="1"/>
      <c r="E445" s="1"/>
      <c r="F445" s="1"/>
    </row>
    <row r="446" spans="4:6" x14ac:dyDescent="0.3">
      <c r="D446" s="1"/>
      <c r="E446" s="1"/>
      <c r="F446" s="1"/>
    </row>
    <row r="447" spans="4:6" x14ac:dyDescent="0.3">
      <c r="D447" s="1"/>
      <c r="E447" s="1"/>
      <c r="F447" s="1"/>
    </row>
    <row r="448" spans="4:6" x14ac:dyDescent="0.3">
      <c r="D448" s="1"/>
      <c r="E448" s="1"/>
      <c r="F448" s="1"/>
    </row>
    <row r="449" spans="4:6" x14ac:dyDescent="0.3">
      <c r="D449" s="1"/>
      <c r="E449" s="1"/>
      <c r="F449" s="1"/>
    </row>
    <row r="450" spans="4:6" x14ac:dyDescent="0.3">
      <c r="D450" s="1"/>
      <c r="E450" s="1"/>
      <c r="F450" s="1"/>
    </row>
    <row r="451" spans="4:6" x14ac:dyDescent="0.3">
      <c r="D451" s="1"/>
      <c r="E451" s="1"/>
      <c r="F451" s="1"/>
    </row>
    <row r="452" spans="4:6" x14ac:dyDescent="0.3">
      <c r="D452" s="1"/>
      <c r="E452" s="1"/>
      <c r="F452" s="1"/>
    </row>
    <row r="453" spans="4:6" x14ac:dyDescent="0.3">
      <c r="D453" s="1"/>
      <c r="E453" s="1"/>
      <c r="F453" s="1"/>
    </row>
    <row r="454" spans="4:6" x14ac:dyDescent="0.3">
      <c r="D454" s="1"/>
      <c r="E454" s="1"/>
      <c r="F454" s="1"/>
    </row>
    <row r="455" spans="4:6" x14ac:dyDescent="0.3">
      <c r="D455" s="1"/>
      <c r="E455" s="1"/>
      <c r="F455" s="1"/>
    </row>
    <row r="456" spans="4:6" x14ac:dyDescent="0.3">
      <c r="D456" s="1"/>
      <c r="E456" s="1"/>
      <c r="F456" s="1"/>
    </row>
    <row r="457" spans="4:6" x14ac:dyDescent="0.3">
      <c r="D457" s="1"/>
      <c r="E457" s="1"/>
      <c r="F457" s="1"/>
    </row>
    <row r="458" spans="4:6" x14ac:dyDescent="0.3">
      <c r="D458" s="1"/>
      <c r="E458" s="1"/>
      <c r="F458" s="1"/>
    </row>
    <row r="459" spans="4:6" x14ac:dyDescent="0.3">
      <c r="D459" s="1"/>
      <c r="E459" s="1"/>
      <c r="F459" s="1"/>
    </row>
    <row r="460" spans="4:6" x14ac:dyDescent="0.3">
      <c r="D460" s="1"/>
      <c r="E460" s="1"/>
      <c r="F460" s="1"/>
    </row>
    <row r="461" spans="4:6" x14ac:dyDescent="0.3">
      <c r="D461" s="1"/>
      <c r="E461" s="1"/>
      <c r="F461" s="1"/>
    </row>
    <row r="462" spans="4:6" x14ac:dyDescent="0.3">
      <c r="D462" s="1"/>
      <c r="E462" s="1"/>
      <c r="F462" s="1"/>
    </row>
    <row r="463" spans="4:6" x14ac:dyDescent="0.3">
      <c r="D463" s="1"/>
      <c r="E463" s="1"/>
      <c r="F463" s="1"/>
    </row>
    <row r="464" spans="4:6" x14ac:dyDescent="0.3">
      <c r="D464" s="1"/>
      <c r="E464" s="1"/>
      <c r="F464" s="1"/>
    </row>
    <row r="465" spans="4:6" x14ac:dyDescent="0.3">
      <c r="D465" s="1"/>
      <c r="E465" s="1"/>
      <c r="F465" s="1"/>
    </row>
    <row r="466" spans="4:6" x14ac:dyDescent="0.3">
      <c r="D466" s="1"/>
      <c r="E466" s="1"/>
      <c r="F466" s="1"/>
    </row>
    <row r="467" spans="4:6" x14ac:dyDescent="0.3">
      <c r="D467" s="1"/>
      <c r="E467" s="1"/>
      <c r="F467" s="1"/>
    </row>
    <row r="468" spans="4:6" x14ac:dyDescent="0.3">
      <c r="D468" s="1"/>
      <c r="E468" s="1"/>
      <c r="F468" s="1"/>
    </row>
    <row r="469" spans="4:6" x14ac:dyDescent="0.3">
      <c r="D469" s="1"/>
      <c r="E469" s="1"/>
      <c r="F469" s="1"/>
    </row>
    <row r="470" spans="4:6" x14ac:dyDescent="0.3">
      <c r="D470" s="1"/>
      <c r="E470" s="1"/>
      <c r="F470" s="1"/>
    </row>
    <row r="471" spans="4:6" x14ac:dyDescent="0.3">
      <c r="D471" s="1"/>
      <c r="E471" s="1"/>
      <c r="F471" s="1"/>
    </row>
    <row r="472" spans="4:6" x14ac:dyDescent="0.3">
      <c r="D472" s="1"/>
      <c r="E472" s="1"/>
      <c r="F472" s="1"/>
    </row>
    <row r="473" spans="4:6" x14ac:dyDescent="0.3">
      <c r="D473" s="1"/>
      <c r="E473" s="1"/>
      <c r="F473" s="1"/>
    </row>
    <row r="474" spans="4:6" x14ac:dyDescent="0.3">
      <c r="D474" s="1"/>
      <c r="E474" s="1"/>
      <c r="F474" s="1"/>
    </row>
    <row r="475" spans="4:6" x14ac:dyDescent="0.3">
      <c r="D475" s="1"/>
      <c r="E475" s="1"/>
      <c r="F475" s="1"/>
    </row>
    <row r="476" spans="4:6" x14ac:dyDescent="0.3">
      <c r="D476" s="1"/>
      <c r="E476" s="1"/>
      <c r="F476" s="1"/>
    </row>
    <row r="477" spans="4:6" x14ac:dyDescent="0.3">
      <c r="D477" s="1"/>
      <c r="E477" s="1"/>
      <c r="F477" s="1"/>
    </row>
    <row r="478" spans="4:6" x14ac:dyDescent="0.3">
      <c r="D478" s="1"/>
      <c r="E478" s="1"/>
      <c r="F478" s="1"/>
    </row>
    <row r="479" spans="4:6" x14ac:dyDescent="0.3">
      <c r="D479" s="1"/>
      <c r="E479" s="1"/>
      <c r="F479" s="1"/>
    </row>
    <row r="480" spans="4:6" x14ac:dyDescent="0.3">
      <c r="D480" s="1"/>
      <c r="E480" s="1"/>
      <c r="F480" s="1"/>
    </row>
    <row r="481" spans="4:6" x14ac:dyDescent="0.3">
      <c r="D481" s="1"/>
      <c r="E481" s="1"/>
      <c r="F481" s="1"/>
    </row>
    <row r="482" spans="4:6" x14ac:dyDescent="0.3">
      <c r="D482" s="1"/>
      <c r="E482" s="1"/>
      <c r="F482" s="1"/>
    </row>
    <row r="483" spans="4:6" x14ac:dyDescent="0.3">
      <c r="D483" s="1"/>
      <c r="E483" s="1"/>
      <c r="F483" s="1"/>
    </row>
  </sheetData>
  <mergeCells count="10">
    <mergeCell ref="A22:A23"/>
    <mergeCell ref="A15:A17"/>
    <mergeCell ref="A9:A14"/>
    <mergeCell ref="A25:A42"/>
    <mergeCell ref="A1:B1"/>
    <mergeCell ref="C1:F1"/>
    <mergeCell ref="A2:D2"/>
    <mergeCell ref="A7:A8"/>
    <mergeCell ref="A19:A21"/>
    <mergeCell ref="A4:A6"/>
  </mergeCells>
  <pageMargins left="0.78740157480314965" right="0.78740157480314965" top="1.5748031496062993" bottom="0.78740157480314965" header="0.11811023622047245" footer="0.31496062992125984"/>
  <pageSetup paperSize="9" scale="99" orientation="landscape" r:id="rId1"/>
  <headerFooter>
    <oddHeader>&amp;L&amp;G&amp;R&amp;G</oddHeader>
    <oddFooter>&amp;L&amp;"+,Standard"&amp;8&amp;K07+000&amp;P | &amp;N&amp;R&amp;"+,Standard"&amp;8 02.05.2019| Version 2.1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"/>
  <sheetViews>
    <sheetView workbookViewId="0">
      <selection activeCell="V14" sqref="V14"/>
    </sheetView>
  </sheetViews>
  <sheetFormatPr baseColWidth="10" defaultRowHeight="15" x14ac:dyDescent="0.3"/>
  <cols>
    <col min="1" max="7" width="11.25" style="11" customWidth="1"/>
    <col min="8" max="12" width="11" style="11" customWidth="1"/>
    <col min="13" max="13" width="5.875" style="11" bestFit="1" customWidth="1"/>
    <col min="14" max="14" width="6" style="11" bestFit="1" customWidth="1"/>
    <col min="15" max="15" width="5.125" style="11" bestFit="1" customWidth="1"/>
    <col min="16" max="16" width="5.875" style="11" bestFit="1" customWidth="1"/>
    <col min="17" max="17" width="5.625" style="11" bestFit="1" customWidth="1"/>
    <col min="18" max="18" width="8.625" style="11" bestFit="1" customWidth="1"/>
    <col min="19" max="19" width="4.875" style="11" customWidth="1"/>
    <col min="20" max="20" width="4.625" style="11" customWidth="1"/>
    <col min="21" max="21" width="5.125" style="11" customWidth="1"/>
    <col min="22" max="22" width="6.375" style="11" bestFit="1" customWidth="1"/>
    <col min="23" max="16384" width="11" style="11"/>
  </cols>
  <sheetData>
    <row r="1" spans="1:22" s="84" customFormat="1" x14ac:dyDescent="0.2">
      <c r="A1" s="98" t="s">
        <v>69</v>
      </c>
      <c r="B1" s="99" t="s">
        <v>70</v>
      </c>
      <c r="C1" s="99" t="s">
        <v>71</v>
      </c>
      <c r="D1" s="100" t="s">
        <v>135</v>
      </c>
      <c r="E1" s="98" t="s">
        <v>69</v>
      </c>
      <c r="F1" s="99" t="s">
        <v>70</v>
      </c>
      <c r="G1" s="99" t="s">
        <v>71</v>
      </c>
      <c r="H1" s="100" t="s">
        <v>135</v>
      </c>
      <c r="I1" s="161" t="s">
        <v>148</v>
      </c>
      <c r="J1" s="162"/>
      <c r="K1" s="163"/>
      <c r="L1" s="104"/>
    </row>
    <row r="2" spans="1:22" s="81" customFormat="1" x14ac:dyDescent="0.3">
      <c r="A2" s="101" t="s">
        <v>7</v>
      </c>
      <c r="B2" s="85">
        <v>20</v>
      </c>
      <c r="C2" s="85" t="s">
        <v>8</v>
      </c>
      <c r="D2" s="110">
        <v>20</v>
      </c>
      <c r="E2" s="105" t="s">
        <v>130</v>
      </c>
      <c r="F2" s="36">
        <f>B9/B10/1000000</f>
        <v>9.9999999999999995E-7</v>
      </c>
      <c r="G2" s="34" t="s">
        <v>12</v>
      </c>
      <c r="H2" s="112"/>
      <c r="I2" s="114" t="s">
        <v>150</v>
      </c>
      <c r="J2" s="118">
        <v>25</v>
      </c>
      <c r="K2" s="132" t="s">
        <v>1</v>
      </c>
    </row>
    <row r="3" spans="1:22" s="81" customFormat="1" x14ac:dyDescent="0.3">
      <c r="A3" s="102" t="s">
        <v>6</v>
      </c>
      <c r="B3" s="85">
        <v>5</v>
      </c>
      <c r="C3" s="85" t="s">
        <v>5</v>
      </c>
      <c r="D3" s="110">
        <v>5</v>
      </c>
      <c r="E3" s="106" t="s">
        <v>131</v>
      </c>
      <c r="F3" s="38">
        <v>10</v>
      </c>
      <c r="G3" s="38" t="s">
        <v>1</v>
      </c>
      <c r="H3" s="110">
        <v>10</v>
      </c>
      <c r="I3" s="119" t="s">
        <v>144</v>
      </c>
      <c r="J3" s="120">
        <f>J2^2</f>
        <v>625</v>
      </c>
      <c r="K3" s="133" t="s">
        <v>42</v>
      </c>
    </row>
    <row r="4" spans="1:22" s="81" customFormat="1" x14ac:dyDescent="0.3">
      <c r="A4" s="101" t="s">
        <v>11</v>
      </c>
      <c r="B4" s="85">
        <v>0.75</v>
      </c>
      <c r="C4" s="85" t="s">
        <v>10</v>
      </c>
      <c r="D4" s="110">
        <v>0.75</v>
      </c>
      <c r="E4" s="106" t="s">
        <v>132</v>
      </c>
      <c r="F4" s="38">
        <v>10</v>
      </c>
      <c r="G4" s="38" t="s">
        <v>13</v>
      </c>
      <c r="H4" s="110">
        <v>10</v>
      </c>
      <c r="I4" s="119" t="s">
        <v>149</v>
      </c>
      <c r="J4" s="120">
        <f>COUNTA(A:A)</f>
        <v>28</v>
      </c>
      <c r="K4" s="133"/>
    </row>
    <row r="5" spans="1:22" s="81" customFormat="1" ht="16.5" x14ac:dyDescent="0.35">
      <c r="A5" s="102" t="s">
        <v>89</v>
      </c>
      <c r="B5" s="85">
        <v>5</v>
      </c>
      <c r="C5" s="85" t="s">
        <v>23</v>
      </c>
      <c r="D5" s="110">
        <v>5</v>
      </c>
      <c r="E5" s="107" t="s">
        <v>133</v>
      </c>
      <c r="F5" s="41">
        <f>ERFC(F3/2/SQRT(F2*F4*365*24*3600))</f>
        <v>0.69049598254555811</v>
      </c>
      <c r="G5" s="38"/>
      <c r="H5" s="112"/>
      <c r="I5" s="119" t="s">
        <v>151</v>
      </c>
      <c r="J5" s="120">
        <f>J4*J3/1000000</f>
        <v>1.7500000000000002E-2</v>
      </c>
      <c r="K5" s="136" t="s">
        <v>152</v>
      </c>
      <c r="L5" s="134"/>
      <c r="M5" s="135"/>
    </row>
    <row r="6" spans="1:22" s="81" customFormat="1" ht="16.5" x14ac:dyDescent="0.35">
      <c r="A6" s="102" t="s">
        <v>90</v>
      </c>
      <c r="B6" s="85">
        <v>18</v>
      </c>
      <c r="C6" s="85" t="s">
        <v>23</v>
      </c>
      <c r="D6" s="110">
        <v>18</v>
      </c>
      <c r="E6" s="108" t="s">
        <v>134</v>
      </c>
      <c r="F6" s="41">
        <f>B9*(1-F5)/F3</f>
        <v>6.1900803490888376E-2</v>
      </c>
      <c r="G6" s="38" t="s">
        <v>14</v>
      </c>
      <c r="H6" s="112"/>
      <c r="I6" s="114" t="s">
        <v>38</v>
      </c>
      <c r="J6" s="117">
        <f ca="1">SUM(H14:INDIRECT("H"&amp;J4))*J3/1000000</f>
        <v>7.2037900215836864E-2</v>
      </c>
      <c r="K6" s="131" t="s">
        <v>145</v>
      </c>
      <c r="L6" s="134"/>
      <c r="M6" s="135"/>
    </row>
    <row r="7" spans="1:22" s="81" customFormat="1" ht="16.5" x14ac:dyDescent="0.35">
      <c r="A7" s="102" t="s">
        <v>75</v>
      </c>
      <c r="B7" s="85">
        <v>2.4</v>
      </c>
      <c r="C7" s="85" t="s">
        <v>4</v>
      </c>
      <c r="D7" s="110">
        <v>2.4</v>
      </c>
      <c r="E7" s="106" t="s">
        <v>61</v>
      </c>
      <c r="F7" s="44">
        <v>4.0999999999999996</v>
      </c>
      <c r="G7" s="38" t="s">
        <v>4</v>
      </c>
      <c r="H7" s="110">
        <v>4.0999999999999996</v>
      </c>
      <c r="I7" s="114" t="s">
        <v>39</v>
      </c>
      <c r="J7" s="117">
        <f ca="1">SUM(I14:INDIRECT("I"&amp;J4))*J3/1000000</f>
        <v>6.2507278283255363E-2</v>
      </c>
      <c r="K7" s="131" t="s">
        <v>145</v>
      </c>
      <c r="L7" s="134"/>
    </row>
    <row r="8" spans="1:22" s="81" customFormat="1" ht="16.5" x14ac:dyDescent="0.35">
      <c r="A8" s="103" t="s">
        <v>105</v>
      </c>
      <c r="B8" s="85">
        <v>1.2</v>
      </c>
      <c r="C8" s="85" t="s">
        <v>0</v>
      </c>
      <c r="D8" s="110">
        <v>1.2</v>
      </c>
      <c r="E8" s="125" t="s">
        <v>63</v>
      </c>
      <c r="F8" s="126">
        <f>2*(2*B11)^2</f>
        <v>20000</v>
      </c>
      <c r="G8" s="127" t="s">
        <v>42</v>
      </c>
      <c r="H8" s="110">
        <v>20000</v>
      </c>
      <c r="I8" s="115" t="s">
        <v>40</v>
      </c>
      <c r="J8" s="117">
        <f ca="1">SUM(J14:INDIRECT("j"&amp;J4))*J3/1000000</f>
        <v>0.19046160897930497</v>
      </c>
      <c r="K8" s="131" t="s">
        <v>145</v>
      </c>
    </row>
    <row r="9" spans="1:22" s="81" customFormat="1" ht="16.5" x14ac:dyDescent="0.35">
      <c r="A9" s="123" t="s">
        <v>106</v>
      </c>
      <c r="B9" s="124">
        <v>2</v>
      </c>
      <c r="C9" s="124" t="s">
        <v>0</v>
      </c>
      <c r="D9" s="110">
        <v>2</v>
      </c>
      <c r="H9" s="131"/>
      <c r="I9" s="137" t="s">
        <v>56</v>
      </c>
      <c r="J9" s="117">
        <f ca="1">SUM(K14:INDIRECT("k"&amp;J4))*J3/24/3600/1000</f>
        <v>8.4603423271562457E-3</v>
      </c>
      <c r="K9" s="131" t="s">
        <v>146</v>
      </c>
    </row>
    <row r="10" spans="1:22" s="92" customFormat="1" ht="16.5" x14ac:dyDescent="0.35">
      <c r="A10" s="121" t="s">
        <v>107</v>
      </c>
      <c r="B10" s="121">
        <v>2</v>
      </c>
      <c r="C10" s="121" t="s">
        <v>4</v>
      </c>
      <c r="D10" s="110">
        <v>2</v>
      </c>
      <c r="G10" s="122"/>
      <c r="H10" s="131"/>
      <c r="I10" s="116" t="s">
        <v>81</v>
      </c>
      <c r="J10" s="117">
        <f ca="1">SUM(L14:INDIRECT("l"&amp;J4))*J3/1000000</f>
        <v>0.16680587914386016</v>
      </c>
      <c r="K10" s="131" t="s">
        <v>147</v>
      </c>
    </row>
    <row r="11" spans="1:22" s="91" customFormat="1" ht="15.75" thickBot="1" x14ac:dyDescent="0.35">
      <c r="A11" s="128" t="s">
        <v>15</v>
      </c>
      <c r="B11" s="129">
        <v>50</v>
      </c>
      <c r="C11" s="129" t="s">
        <v>1</v>
      </c>
      <c r="D11" s="111">
        <v>50</v>
      </c>
      <c r="G11" s="130"/>
      <c r="H11" s="109"/>
      <c r="K11" s="109"/>
    </row>
    <row r="12" spans="1:22" s="92" customFormat="1" ht="15.75" thickTop="1" x14ac:dyDescent="0.3">
      <c r="A12" s="158" t="s">
        <v>138</v>
      </c>
      <c r="B12" s="158"/>
      <c r="C12" s="158"/>
      <c r="D12" s="158"/>
      <c r="E12" s="158"/>
      <c r="F12" s="158"/>
      <c r="G12" s="158"/>
      <c r="H12" s="159" t="s">
        <v>136</v>
      </c>
      <c r="I12" s="159"/>
      <c r="J12" s="159"/>
      <c r="K12" s="159"/>
      <c r="L12" s="159"/>
      <c r="M12" s="160" t="s">
        <v>137</v>
      </c>
      <c r="N12" s="160"/>
      <c r="O12" s="160"/>
      <c r="P12" s="160"/>
      <c r="Q12" s="160"/>
      <c r="R12" s="160"/>
      <c r="S12" s="160"/>
      <c r="T12" s="160"/>
      <c r="U12" s="160"/>
      <c r="V12" s="160"/>
    </row>
    <row r="13" spans="1:22" ht="16.5" x14ac:dyDescent="0.35">
      <c r="A13" s="97" t="s">
        <v>119</v>
      </c>
      <c r="B13" s="97" t="s">
        <v>120</v>
      </c>
      <c r="C13" s="97" t="s">
        <v>101</v>
      </c>
      <c r="D13" s="97" t="s">
        <v>121</v>
      </c>
      <c r="E13" s="97" t="s">
        <v>122</v>
      </c>
      <c r="F13" s="97" t="s">
        <v>123</v>
      </c>
      <c r="G13" s="97" t="s">
        <v>2</v>
      </c>
      <c r="H13" s="86" t="s">
        <v>38</v>
      </c>
      <c r="I13" s="86" t="s">
        <v>39</v>
      </c>
      <c r="J13" s="87" t="s">
        <v>40</v>
      </c>
      <c r="K13" s="88" t="s">
        <v>56</v>
      </c>
      <c r="L13" s="89" t="s">
        <v>81</v>
      </c>
      <c r="M13" s="56" t="s">
        <v>77</v>
      </c>
      <c r="N13" s="56" t="s">
        <v>76</v>
      </c>
      <c r="O13" s="56" t="s">
        <v>103</v>
      </c>
      <c r="P13" s="35" t="s">
        <v>58</v>
      </c>
      <c r="Q13" s="35" t="s">
        <v>59</v>
      </c>
      <c r="R13" s="35" t="s">
        <v>60</v>
      </c>
      <c r="S13" s="45" t="s">
        <v>62</v>
      </c>
      <c r="T13" s="42" t="s">
        <v>18</v>
      </c>
      <c r="U13" s="90" t="s">
        <v>97</v>
      </c>
      <c r="V13" s="90" t="s">
        <v>98</v>
      </c>
    </row>
    <row r="14" spans="1:22" x14ac:dyDescent="0.3">
      <c r="A14" s="11">
        <v>599312.5</v>
      </c>
      <c r="B14" s="11">
        <v>5351587.5</v>
      </c>
      <c r="C14" s="95">
        <v>1.84013366699218</v>
      </c>
      <c r="D14" s="95">
        <v>3.7344512939453098</v>
      </c>
      <c r="E14" s="95">
        <v>11.102993965148899</v>
      </c>
      <c r="F14" s="95">
        <v>12.7072944641113</v>
      </c>
      <c r="G14" s="94">
        <v>3.3799507655199999E-3</v>
      </c>
      <c r="H14" s="95">
        <f>(P14/$B$2+Q14+R14)*raster_calc!M14*$B$4</f>
        <v>9.1678061108023066</v>
      </c>
      <c r="I14" s="95">
        <f>(P14/$B$2+Q14+R14)*raster_calc!N14*$B$4</f>
        <v>7.9506056259739033</v>
      </c>
      <c r="J14" s="95">
        <f>P14*O14*$B$4</f>
        <v>9.8826755184855308</v>
      </c>
      <c r="K14" s="96">
        <f t="shared" ref="K14:K28" si="0">U14/$F$8*3600*24</f>
        <v>24.143218762100332</v>
      </c>
      <c r="L14" s="93">
        <f>V14*1000/$F$8</f>
        <v>5.7284257479520466</v>
      </c>
      <c r="M14" s="95">
        <f>MAX(E14-$B$5,0)</f>
        <v>6.1029939651488991</v>
      </c>
      <c r="N14" s="95">
        <f>MAX($B$6-F14,0)</f>
        <v>5.2927055358887003</v>
      </c>
      <c r="O14" s="95">
        <f>MIN(M14,N14)</f>
        <v>5.2927055358887003</v>
      </c>
      <c r="P14" s="93">
        <f>$B$7*MAX(D14,0)/3.6</f>
        <v>2.4896341959635397</v>
      </c>
      <c r="Q14" s="93">
        <f>MIN(MAX($B$8/(MAX(C14,3)+S14/4)*4380/1000,R14),P14)</f>
        <v>1.3361762420078884</v>
      </c>
      <c r="R14" s="93">
        <f>MIN($F$6*8760/1000,P14)</f>
        <v>0.54225103858018209</v>
      </c>
      <c r="S14" s="93">
        <f>IF(D14&gt;0,MIN(D14,20),0)</f>
        <v>3.7344512939453098</v>
      </c>
      <c r="T14" s="93">
        <f t="shared" ref="T14:T28" si="1">IF(D14&gt;0,MIN($B$11/3000/SQRT(G14),D14/3,5),0)</f>
        <v>0.2866774696697284</v>
      </c>
      <c r="U14" s="93">
        <f>PI()*G14*T14*(2*S14-T14)/LN($B$11)*1000</f>
        <v>5.5887080467824841</v>
      </c>
      <c r="V14" s="93">
        <f>MIN(O14,$B$3)*U14*$F$7</f>
        <v>114.56851495904093</v>
      </c>
    </row>
    <row r="15" spans="1:22" x14ac:dyDescent="0.3">
      <c r="A15" s="11">
        <v>600087.5</v>
      </c>
      <c r="B15" s="11">
        <v>5351187.5</v>
      </c>
      <c r="C15" s="95">
        <v>2.84568786621093</v>
      </c>
      <c r="D15" s="95">
        <v>4.5359954833984304</v>
      </c>
      <c r="E15" s="95">
        <v>11.0319557189941</v>
      </c>
      <c r="F15" s="95">
        <v>13.029191970825099</v>
      </c>
      <c r="G15" s="94">
        <v>3.5692565143109999E-3</v>
      </c>
      <c r="H15" s="95">
        <f>(P15/$B$2+Q15+R15)*raster_calc!M15*$B$4</f>
        <v>8.8889571906309097</v>
      </c>
      <c r="I15" s="95">
        <f>(P15/$B$2+Q15+R15)*raster_calc!N15*$B$4</f>
        <v>7.325202941235867</v>
      </c>
      <c r="J15" s="95">
        <f t="shared" ref="J15:J22" si="2">P15*O15*$B$4</f>
        <v>11.273781384589</v>
      </c>
      <c r="K15" s="96">
        <f t="shared" si="0"/>
        <v>30.374412255831814</v>
      </c>
      <c r="L15" s="93">
        <f t="shared" ref="L15:L28" si="3">V15*1000/$F$8</f>
        <v>7.1648151217975089</v>
      </c>
      <c r="M15" s="95">
        <f t="shared" ref="M15:M28" si="4">MAX(E15-$B$5,0)</f>
        <v>6.0319557189940998</v>
      </c>
      <c r="N15" s="95">
        <f t="shared" ref="N15:N28" si="5">MAX($B$6-F15,0)</f>
        <v>4.9708080291749006</v>
      </c>
      <c r="O15" s="95">
        <f t="shared" ref="O15:O22" si="6">MIN(M15,N15)</f>
        <v>4.9708080291749006</v>
      </c>
      <c r="P15" s="93">
        <f t="shared" ref="P15:P22" si="7">$B$7*MAX(D15,0)/3.6</f>
        <v>3.0239969889322866</v>
      </c>
      <c r="Q15" s="93">
        <f t="shared" ref="Q15:Q22" si="8">MIN(MAX($B$8/(MAX(C15,3)+S15/4)*4380/1000,R15),P15)</f>
        <v>1.2714081847148162</v>
      </c>
      <c r="R15" s="93">
        <f t="shared" ref="R15:R22" si="9">MIN($F$6*8760/1000,P15)</f>
        <v>0.54225103858018209</v>
      </c>
      <c r="S15" s="93">
        <f t="shared" ref="S15:S22" si="10">IF(D15&gt;0,MIN(D15,20),0)</f>
        <v>4.5359954833984304</v>
      </c>
      <c r="T15" s="93">
        <f t="shared" si="1"/>
        <v>0.27897152030414069</v>
      </c>
      <c r="U15" s="93">
        <f>PI()*G15*T15*(2*S15-T15)/LN($B$11)*1000</f>
        <v>7.0311139481092155</v>
      </c>
      <c r="V15" s="93">
        <f t="shared" ref="V15:V28" si="11">MIN(O15,$B$3)*U15*$F$7</f>
        <v>143.29630243595017</v>
      </c>
    </row>
    <row r="16" spans="1:22" x14ac:dyDescent="0.3">
      <c r="A16" s="11">
        <v>600462.5</v>
      </c>
      <c r="B16" s="11">
        <v>5350612.5</v>
      </c>
      <c r="C16" s="95">
        <v>3.58184814453125</v>
      </c>
      <c r="D16" s="95">
        <v>4.9332427978515598</v>
      </c>
      <c r="E16" s="95">
        <v>11.1187753677368</v>
      </c>
      <c r="F16" s="95">
        <v>13.013983726501399</v>
      </c>
      <c r="G16" s="94">
        <v>3.562264610082E-3</v>
      </c>
      <c r="H16" s="95">
        <f>(P16/$B$2+Q16+R16)*raster_calc!M16*$B$4</f>
        <v>8.2522940122398154</v>
      </c>
      <c r="I16" s="95">
        <f>(P16/$B$2+Q16+R16)*raster_calc!N16*$B$4</f>
        <v>6.7245600248178103</v>
      </c>
      <c r="J16" s="95">
        <f t="shared" si="2"/>
        <v>12.298614435603822</v>
      </c>
      <c r="K16" s="96">
        <f t="shared" si="0"/>
        <v>33.085498005986011</v>
      </c>
      <c r="L16" s="93">
        <f t="shared" si="3"/>
        <v>7.8281922343295403</v>
      </c>
      <c r="M16" s="95">
        <f t="shared" si="4"/>
        <v>6.1187753677368004</v>
      </c>
      <c r="N16" s="95">
        <f t="shared" si="5"/>
        <v>4.9860162734986009</v>
      </c>
      <c r="O16" s="95">
        <f t="shared" si="6"/>
        <v>4.9860162734986009</v>
      </c>
      <c r="P16" s="93">
        <f t="shared" si="7"/>
        <v>3.2888285319010397</v>
      </c>
      <c r="Q16" s="93">
        <f t="shared" si="8"/>
        <v>1.0915527753680885</v>
      </c>
      <c r="R16" s="93">
        <f t="shared" si="9"/>
        <v>0.54225103858018209</v>
      </c>
      <c r="S16" s="93">
        <f t="shared" si="10"/>
        <v>4.9332427978515598</v>
      </c>
      <c r="T16" s="93">
        <f t="shared" si="1"/>
        <v>0.27924516448670195</v>
      </c>
      <c r="U16" s="93">
        <f t="shared" ref="U16:U28" si="12">PI()*G16*T16*(2*S16-T16)/LN($B$11)*1000</f>
        <v>7.6586800939782442</v>
      </c>
      <c r="V16" s="93">
        <f t="shared" si="11"/>
        <v>156.56384468659081</v>
      </c>
    </row>
    <row r="17" spans="1:22" x14ac:dyDescent="0.3">
      <c r="A17" s="11">
        <v>600587.5</v>
      </c>
      <c r="B17" s="11">
        <v>5350437.5</v>
      </c>
      <c r="C17" s="95">
        <v>4.1424865722656197</v>
      </c>
      <c r="D17" s="95">
        <v>4.8848114013671804</v>
      </c>
      <c r="E17" s="95">
        <v>11.151125907897899</v>
      </c>
      <c r="F17" s="95">
        <v>12.983110427856399</v>
      </c>
      <c r="G17" s="94">
        <v>3.5505217965690001E-3</v>
      </c>
      <c r="H17" s="95">
        <f>(P17/$B$2+Q17+R17)*raster_calc!M17*$B$4</f>
        <v>7.7734881107935072</v>
      </c>
      <c r="I17" s="95">
        <f>(P17/$B$2+Q17+R17)*raster_calc!N17*$B$4</f>
        <v>6.340096435377589</v>
      </c>
      <c r="J17" s="95">
        <f t="shared" si="2"/>
        <v>12.253279690703586</v>
      </c>
      <c r="K17" s="96">
        <f t="shared" si="0"/>
        <v>32.695609656982256</v>
      </c>
      <c r="L17" s="93">
        <f t="shared" si="3"/>
        <v>7.7576388653719466</v>
      </c>
      <c r="M17" s="95">
        <f t="shared" si="4"/>
        <v>6.1511259078978995</v>
      </c>
      <c r="N17" s="95">
        <f t="shared" si="5"/>
        <v>5.0168895721436009</v>
      </c>
      <c r="O17" s="95">
        <f t="shared" si="6"/>
        <v>5.0168895721436009</v>
      </c>
      <c r="P17" s="93">
        <f t="shared" si="7"/>
        <v>3.2565409342447866</v>
      </c>
      <c r="Q17" s="93">
        <f t="shared" si="8"/>
        <v>0.97992250965286787</v>
      </c>
      <c r="R17" s="93">
        <f t="shared" si="9"/>
        <v>0.54225103858018209</v>
      </c>
      <c r="S17" s="93">
        <f t="shared" si="10"/>
        <v>4.8848114013671804</v>
      </c>
      <c r="T17" s="93">
        <f t="shared" si="1"/>
        <v>0.2797065638600279</v>
      </c>
      <c r="U17" s="93">
        <f t="shared" si="12"/>
        <v>7.5684281613384847</v>
      </c>
      <c r="V17" s="93">
        <f t="shared" si="11"/>
        <v>155.15277730743892</v>
      </c>
    </row>
    <row r="18" spans="1:22" x14ac:dyDescent="0.3">
      <c r="A18" s="11">
        <v>607262.5</v>
      </c>
      <c r="B18" s="11">
        <v>5344912.5</v>
      </c>
      <c r="C18" s="95">
        <v>5.6717681884765598</v>
      </c>
      <c r="D18" s="95">
        <v>6.4263458251953098</v>
      </c>
      <c r="E18" s="95">
        <v>12.244518280029199</v>
      </c>
      <c r="F18" s="95">
        <v>14.2064657211303</v>
      </c>
      <c r="G18" s="94">
        <v>9.0237222611899998E-3</v>
      </c>
      <c r="H18" s="95">
        <f>(P18/$B$2+Q18+R18)*raster_calc!M18*$B$4</f>
        <v>8.0338291905019901</v>
      </c>
      <c r="I18" s="95">
        <f>(P18/$B$2+Q18+R18)*raster_calc!N18*$B$4</f>
        <v>4.2068506485472597</v>
      </c>
      <c r="J18" s="95">
        <f t="shared" si="2"/>
        <v>12.189281587874799</v>
      </c>
      <c r="K18" s="96">
        <f t="shared" si="0"/>
        <v>69.630347555332932</v>
      </c>
      <c r="L18" s="93">
        <f t="shared" si="3"/>
        <v>12.534663798994703</v>
      </c>
      <c r="M18" s="95">
        <f t="shared" si="4"/>
        <v>7.2445182800291992</v>
      </c>
      <c r="N18" s="95">
        <f t="shared" si="5"/>
        <v>3.7935342788697</v>
      </c>
      <c r="O18" s="95">
        <f t="shared" si="6"/>
        <v>3.7935342788697</v>
      </c>
      <c r="P18" s="93">
        <f t="shared" si="7"/>
        <v>4.2842305501302063</v>
      </c>
      <c r="Q18" s="93">
        <f t="shared" si="8"/>
        <v>0.72214123335868341</v>
      </c>
      <c r="R18" s="93">
        <f t="shared" si="9"/>
        <v>0.54225103858018209</v>
      </c>
      <c r="S18" s="93">
        <f t="shared" si="10"/>
        <v>6.4263458251953098</v>
      </c>
      <c r="T18" s="93">
        <f t="shared" si="1"/>
        <v>0.17545101690723144</v>
      </c>
      <c r="U18" s="93">
        <f t="shared" si="12"/>
        <v>16.118136008178919</v>
      </c>
      <c r="V18" s="93">
        <f t="shared" si="11"/>
        <v>250.69327597989408</v>
      </c>
    </row>
    <row r="19" spans="1:22" x14ac:dyDescent="0.3">
      <c r="A19" s="11">
        <v>607262.5</v>
      </c>
      <c r="B19" s="11">
        <v>5349712.5</v>
      </c>
      <c r="C19" s="95">
        <v>6.430419921875</v>
      </c>
      <c r="D19" s="95">
        <v>9.3376007080078107</v>
      </c>
      <c r="E19" s="95">
        <v>12.8732051849365</v>
      </c>
      <c r="F19" s="95">
        <v>12.5471944808959</v>
      </c>
      <c r="G19" s="94">
        <v>4.3647228740159999E-3</v>
      </c>
      <c r="H19" s="95">
        <f>(P19/$B$2+Q19+R19)*raster_calc!M19*$B$4</f>
        <v>8.580855362234864</v>
      </c>
      <c r="I19" s="95">
        <f>(P19/$B$2+Q19+R19)*raster_calc!N19*$B$4</f>
        <v>5.942908177644</v>
      </c>
      <c r="J19" s="95">
        <f t="shared" si="2"/>
        <v>25.458060337907668</v>
      </c>
      <c r="K19" s="96">
        <f t="shared" si="0"/>
        <v>70.374930000187589</v>
      </c>
      <c r="L19" s="93">
        <f t="shared" si="3"/>
        <v>16.697755381988951</v>
      </c>
      <c r="M19" s="95">
        <f t="shared" si="4"/>
        <v>7.8732051849365003</v>
      </c>
      <c r="N19" s="95">
        <f t="shared" si="5"/>
        <v>5.4528055191040998</v>
      </c>
      <c r="O19" s="95">
        <f t="shared" si="6"/>
        <v>5.4528055191040998</v>
      </c>
      <c r="P19" s="93">
        <f t="shared" si="7"/>
        <v>6.2250671386718732</v>
      </c>
      <c r="Q19" s="93">
        <f t="shared" si="8"/>
        <v>0.59967003779957295</v>
      </c>
      <c r="R19" s="93">
        <f t="shared" si="9"/>
        <v>0.54225103858018209</v>
      </c>
      <c r="S19" s="93">
        <f t="shared" si="10"/>
        <v>9.3376007080078107</v>
      </c>
      <c r="T19" s="93">
        <f t="shared" si="1"/>
        <v>0.25227279118094942</v>
      </c>
      <c r="U19" s="93">
        <f t="shared" si="12"/>
        <v>16.290493055598979</v>
      </c>
      <c r="V19" s="93">
        <f t="shared" si="11"/>
        <v>333.95510763977904</v>
      </c>
    </row>
    <row r="20" spans="1:22" x14ac:dyDescent="0.3">
      <c r="A20" s="11">
        <v>607287.5</v>
      </c>
      <c r="B20" s="11">
        <v>5343112.5</v>
      </c>
      <c r="C20" s="95">
        <v>5.0956268310546804</v>
      </c>
      <c r="D20" s="95">
        <v>5.8274841308593697</v>
      </c>
      <c r="E20" s="95">
        <v>12.40452003479</v>
      </c>
      <c r="F20" s="95">
        <v>13.583035469055099</v>
      </c>
      <c r="G20" s="94">
        <v>8.8341152295469995E-3</v>
      </c>
      <c r="H20" s="95">
        <f>(P20/$B$2+Q20+R20)*raster_calc!M20*$B$4</f>
        <v>8.5446533699507992</v>
      </c>
      <c r="I20" s="95">
        <f>(P20/$B$2+Q20+R20)*raster_calc!N20*$B$4</f>
        <v>5.0970799845181158</v>
      </c>
      <c r="J20" s="95">
        <f t="shared" si="2"/>
        <v>12.869895355325053</v>
      </c>
      <c r="K20" s="96">
        <f t="shared" si="0"/>
        <v>62.375675755965332</v>
      </c>
      <c r="L20" s="93">
        <f t="shared" si="3"/>
        <v>13.074024356158057</v>
      </c>
      <c r="M20" s="95">
        <f t="shared" si="4"/>
        <v>7.40452003479</v>
      </c>
      <c r="N20" s="95">
        <f t="shared" si="5"/>
        <v>4.4169645309449006</v>
      </c>
      <c r="O20" s="95">
        <f t="shared" si="6"/>
        <v>4.4169645309449006</v>
      </c>
      <c r="P20" s="93">
        <f t="shared" si="7"/>
        <v>3.884989420572913</v>
      </c>
      <c r="Q20" s="93">
        <f t="shared" si="8"/>
        <v>0.80213685059888395</v>
      </c>
      <c r="R20" s="93">
        <f t="shared" si="9"/>
        <v>0.54225103858018209</v>
      </c>
      <c r="S20" s="93">
        <f t="shared" si="10"/>
        <v>5.8274841308593697</v>
      </c>
      <c r="T20" s="93">
        <f t="shared" si="1"/>
        <v>0.17732387765747779</v>
      </c>
      <c r="U20" s="93">
        <f t="shared" si="12"/>
        <v>14.438813832399381</v>
      </c>
      <c r="V20" s="93">
        <f t="shared" si="11"/>
        <v>261.48048712316114</v>
      </c>
    </row>
    <row r="21" spans="1:22" x14ac:dyDescent="0.3">
      <c r="A21" s="11">
        <v>613087.5</v>
      </c>
      <c r="B21" s="11">
        <v>5346012.5</v>
      </c>
      <c r="C21" s="95">
        <v>3.8035583496093701</v>
      </c>
      <c r="D21" s="95">
        <v>9.9365386962890607</v>
      </c>
      <c r="E21" s="95">
        <v>11.1900310516357</v>
      </c>
      <c r="F21" s="95">
        <v>12.6617994308471</v>
      </c>
      <c r="G21" s="94">
        <v>7.8902319073679995E-3</v>
      </c>
      <c r="H21" s="95">
        <f>(P21/$B$2+Q21+R21)*raster_calc!M21*$B$4</f>
        <v>7.935872052383635</v>
      </c>
      <c r="I21" s="95">
        <f>(P21/$B$2+Q21+R21)*raster_calc!N21*$B$4</f>
        <v>6.8437906616905453</v>
      </c>
      <c r="J21" s="95">
        <f t="shared" si="2"/>
        <v>26.521618261970037</v>
      </c>
      <c r="K21" s="96">
        <f t="shared" si="0"/>
        <v>101.10464937768688</v>
      </c>
      <c r="L21" s="93">
        <f t="shared" si="3"/>
        <v>23.988950373178024</v>
      </c>
      <c r="M21" s="95">
        <f t="shared" si="4"/>
        <v>6.1900310516356996</v>
      </c>
      <c r="N21" s="95">
        <f t="shared" si="5"/>
        <v>5.3382005691528995</v>
      </c>
      <c r="O21" s="95">
        <f t="shared" si="6"/>
        <v>5.3382005691528995</v>
      </c>
      <c r="P21" s="93">
        <f t="shared" si="7"/>
        <v>6.6243591308593732</v>
      </c>
      <c r="Q21" s="93">
        <f t="shared" si="8"/>
        <v>0.83591867163426692</v>
      </c>
      <c r="R21" s="93">
        <f t="shared" si="9"/>
        <v>0.54225103858018209</v>
      </c>
      <c r="S21" s="93">
        <f t="shared" si="10"/>
        <v>9.9365386962890607</v>
      </c>
      <c r="T21" s="93">
        <f t="shared" si="1"/>
        <v>0.18763068564902388</v>
      </c>
      <c r="U21" s="93">
        <f t="shared" si="12"/>
        <v>23.403854022612709</v>
      </c>
      <c r="V21" s="93">
        <f t="shared" si="11"/>
        <v>479.7790074635605</v>
      </c>
    </row>
    <row r="22" spans="1:22" x14ac:dyDescent="0.3">
      <c r="A22" s="11">
        <v>613112.5</v>
      </c>
      <c r="B22" s="11">
        <v>5335387.5</v>
      </c>
      <c r="C22" s="95">
        <v>6.7222747802734304</v>
      </c>
      <c r="D22" s="95">
        <v>12.3435821533203</v>
      </c>
      <c r="E22" s="95">
        <v>10.357756614685</v>
      </c>
      <c r="F22" s="95">
        <v>13.363186836242599</v>
      </c>
      <c r="G22" s="94">
        <v>3.414790146053E-3</v>
      </c>
      <c r="H22" s="95">
        <f>(P22/$B$2+Q22+R22)*raster_calc!M22*$B$4</f>
        <v>6.0112213564306618</v>
      </c>
      <c r="I22" s="95">
        <f>(P22/$B$2+Q22+R22)*raster_calc!N22*$B$4</f>
        <v>5.2023472360354779</v>
      </c>
      <c r="J22" s="95">
        <f t="shared" si="2"/>
        <v>28.617442108218242</v>
      </c>
      <c r="K22" s="96">
        <f t="shared" si="0"/>
        <v>82.449412443849894</v>
      </c>
      <c r="L22" s="93">
        <f t="shared" si="3"/>
        <v>18.1416705549907</v>
      </c>
      <c r="M22" s="95">
        <f t="shared" si="4"/>
        <v>5.357756614685</v>
      </c>
      <c r="N22" s="95">
        <f t="shared" si="5"/>
        <v>4.6368131637574006</v>
      </c>
      <c r="O22" s="95">
        <f t="shared" si="6"/>
        <v>4.6368131637574006</v>
      </c>
      <c r="P22" s="93">
        <f t="shared" si="7"/>
        <v>8.2290547688802</v>
      </c>
      <c r="Q22" s="93">
        <f t="shared" si="8"/>
        <v>0.54225103858018209</v>
      </c>
      <c r="R22" s="93">
        <f t="shared" si="9"/>
        <v>0.54225103858018209</v>
      </c>
      <c r="S22" s="93">
        <f t="shared" si="10"/>
        <v>12.3435821533203</v>
      </c>
      <c r="T22" s="93">
        <f t="shared" si="1"/>
        <v>0.28521130768127406</v>
      </c>
      <c r="U22" s="93">
        <f t="shared" si="12"/>
        <v>19.085512139780072</v>
      </c>
      <c r="V22" s="93">
        <f t="shared" si="11"/>
        <v>362.83341109981399</v>
      </c>
    </row>
    <row r="23" spans="1:22" x14ac:dyDescent="0.3">
      <c r="A23" s="11">
        <v>613112.5</v>
      </c>
      <c r="B23" s="11">
        <v>5340187.5</v>
      </c>
      <c r="C23" s="95">
        <v>4.8727722167968697</v>
      </c>
      <c r="D23" s="95">
        <v>9.4244842529296804</v>
      </c>
      <c r="E23" s="95">
        <v>10.922061920166</v>
      </c>
      <c r="F23" s="95">
        <v>11.478038787841699</v>
      </c>
      <c r="G23" s="94">
        <v>1.1967006139457E-2</v>
      </c>
      <c r="H23" s="95">
        <f>(P23/$B$2+Q23+R23)*raster_calc!M23*$B$4</f>
        <v>7.0331122375086306</v>
      </c>
      <c r="I23" s="95">
        <f>(P23/$B$2+Q23+R23)*raster_calc!N23*$B$4</f>
        <v>7.7455598796747154</v>
      </c>
      <c r="J23" s="95">
        <f t="shared" ref="J23:J28" si="13">P23*O23*$B$4</f>
        <v>27.906189655739482</v>
      </c>
      <c r="K23" s="96">
        <f t="shared" si="0"/>
        <v>118.25967530692331</v>
      </c>
      <c r="L23" s="93">
        <f t="shared" si="3"/>
        <v>28.059297960554723</v>
      </c>
      <c r="M23" s="95">
        <f t="shared" si="4"/>
        <v>5.9220619201659996</v>
      </c>
      <c r="N23" s="95">
        <f t="shared" si="5"/>
        <v>6.5219612121583008</v>
      </c>
      <c r="O23" s="95">
        <f t="shared" ref="O23:O28" si="14">MIN(M23,N23)</f>
        <v>5.9220619201659996</v>
      </c>
      <c r="P23" s="93">
        <f t="shared" ref="P23:P28" si="15">$B$7*MAX(D23,0)/3.6</f>
        <v>6.2829895019531197</v>
      </c>
      <c r="Q23" s="93">
        <f t="shared" ref="Q23:Q28" si="16">MIN(MAX($B$8/(MAX(C23,3)+S23/4)*4380/1000,R23),P23)</f>
        <v>0.72708225123759251</v>
      </c>
      <c r="R23" s="93">
        <f t="shared" ref="R23:R28" si="17">MIN($F$6*8760/1000,P23)</f>
        <v>0.54225103858018209</v>
      </c>
      <c r="S23" s="93">
        <f t="shared" ref="S23:S28" si="18">IF(D23&gt;0,MIN(D23,20),0)</f>
        <v>9.4244842529296804</v>
      </c>
      <c r="T23" s="93">
        <f t="shared" si="1"/>
        <v>0.15235474783436742</v>
      </c>
      <c r="U23" s="93">
        <f t="shared" si="12"/>
        <v>27.374924839565583</v>
      </c>
      <c r="V23" s="93">
        <f t="shared" si="11"/>
        <v>561.18595921109443</v>
      </c>
    </row>
    <row r="24" spans="1:22" x14ac:dyDescent="0.3">
      <c r="A24" s="11">
        <v>613112.5</v>
      </c>
      <c r="B24" s="11">
        <v>5345062.5</v>
      </c>
      <c r="C24" s="95">
        <v>5.16021728515625</v>
      </c>
      <c r="D24" s="95">
        <v>4.6412353515625</v>
      </c>
      <c r="E24" s="95">
        <v>11.344869613647401</v>
      </c>
      <c r="F24" s="95">
        <v>12.8189678192138</v>
      </c>
      <c r="G24" s="94">
        <v>1.1147681623697E-2</v>
      </c>
      <c r="H24" s="95">
        <f>(P24/$B$2+Q24+R24)*raster_calc!M24*$B$4</f>
        <v>7.2737675352092594</v>
      </c>
      <c r="I24" s="95">
        <f>(P24/$B$2+Q24+R24)*raster_calc!N24*$B$4</f>
        <v>5.9395426494529975</v>
      </c>
      <c r="J24" s="95">
        <f t="shared" si="13"/>
        <v>12.023194857523933</v>
      </c>
      <c r="K24" s="96">
        <f t="shared" si="0"/>
        <v>55.70418985773582</v>
      </c>
      <c r="L24" s="93">
        <f t="shared" si="3"/>
        <v>13.216850602819264</v>
      </c>
      <c r="M24" s="95">
        <f t="shared" si="4"/>
        <v>6.3448696136474005</v>
      </c>
      <c r="N24" s="95">
        <f t="shared" si="5"/>
        <v>5.1810321807862003</v>
      </c>
      <c r="O24" s="95">
        <f t="shared" si="14"/>
        <v>5.1810321807862003</v>
      </c>
      <c r="P24" s="93">
        <f t="shared" si="15"/>
        <v>3.0941569010416665</v>
      </c>
      <c r="Q24" s="93">
        <f t="shared" si="16"/>
        <v>0.83157634312035578</v>
      </c>
      <c r="R24" s="93">
        <f t="shared" si="17"/>
        <v>0.54225103858018209</v>
      </c>
      <c r="S24" s="93">
        <f t="shared" si="18"/>
        <v>4.6412353515625</v>
      </c>
      <c r="T24" s="93">
        <f t="shared" si="1"/>
        <v>0.15785431980853301</v>
      </c>
      <c r="U24" s="93">
        <f t="shared" si="12"/>
        <v>12.894488392994404</v>
      </c>
      <c r="V24" s="93">
        <f t="shared" si="11"/>
        <v>264.33701205638528</v>
      </c>
    </row>
    <row r="25" spans="1:22" x14ac:dyDescent="0.3">
      <c r="A25" s="11">
        <v>613112.5</v>
      </c>
      <c r="B25" s="11">
        <v>5349862.5</v>
      </c>
      <c r="C25" s="95">
        <v>4.9707946777343697</v>
      </c>
      <c r="D25" s="95">
        <v>17.0003051757812</v>
      </c>
      <c r="E25" s="95">
        <v>11.9690904617309</v>
      </c>
      <c r="F25" s="95">
        <v>12.643898010253899</v>
      </c>
      <c r="G25" s="94">
        <v>1.1307903565466E-2</v>
      </c>
      <c r="H25" s="95">
        <f>(P25/$B$2+Q25+R25)*raster_calc!M25*$B$4</f>
        <v>8.775508888952734</v>
      </c>
      <c r="I25" s="95">
        <f>(P25/$B$2+Q25+R25)*raster_calc!N25*$B$4</f>
        <v>6.7444268200072131</v>
      </c>
      <c r="J25" s="95">
        <f t="shared" si="13"/>
        <v>45.527684189146306</v>
      </c>
      <c r="K25" s="96">
        <f t="shared" si="0"/>
        <v>208.09044663521962</v>
      </c>
      <c r="L25" s="93">
        <f t="shared" si="3"/>
        <v>49.373311990995383</v>
      </c>
      <c r="M25" s="95">
        <f t="shared" si="4"/>
        <v>6.9690904617309002</v>
      </c>
      <c r="N25" s="95">
        <f t="shared" si="5"/>
        <v>5.3561019897461009</v>
      </c>
      <c r="O25" s="95">
        <f t="shared" si="14"/>
        <v>5.3561019897461009</v>
      </c>
      <c r="P25" s="93">
        <f t="shared" si="15"/>
        <v>11.333536783854132</v>
      </c>
      <c r="Q25" s="93">
        <f t="shared" si="16"/>
        <v>0.57001122954034456</v>
      </c>
      <c r="R25" s="93">
        <f t="shared" si="17"/>
        <v>0.54225103858018209</v>
      </c>
      <c r="S25" s="93">
        <f t="shared" si="18"/>
        <v>17.0003051757812</v>
      </c>
      <c r="T25" s="93">
        <f t="shared" si="1"/>
        <v>0.15673200939863069</v>
      </c>
      <c r="U25" s="93">
        <f t="shared" si="12"/>
        <v>48.169084869263799</v>
      </c>
      <c r="V25" s="93">
        <f t="shared" si="11"/>
        <v>987.46623981990774</v>
      </c>
    </row>
    <row r="26" spans="1:22" x14ac:dyDescent="0.3">
      <c r="A26" s="11">
        <v>614762.5</v>
      </c>
      <c r="B26" s="11">
        <v>5337412.5</v>
      </c>
      <c r="C26" s="95">
        <v>5.3679046630859304</v>
      </c>
      <c r="D26" s="95">
        <v>8.2941589355468697</v>
      </c>
      <c r="E26" s="95">
        <v>9.7191686630249006</v>
      </c>
      <c r="F26" s="95">
        <v>11.1855020523071</v>
      </c>
      <c r="G26" s="94">
        <v>9.7665674984460001E-3</v>
      </c>
      <c r="H26" s="95">
        <f>(P26/$B$2+Q26+R26)*raster_calc!M26*$B$4</f>
        <v>5.3976818585706958</v>
      </c>
      <c r="I26" s="95">
        <f>(P26/$B$2+Q26+R26)*raster_calc!N26*$B$4</f>
        <v>7.7942736473318366</v>
      </c>
      <c r="J26" s="95">
        <f t="shared" si="13"/>
        <v>19.570767467390375</v>
      </c>
      <c r="K26" s="96">
        <f t="shared" si="0"/>
        <v>93.824531227287991</v>
      </c>
      <c r="L26" s="93">
        <f t="shared" si="3"/>
        <v>21.011256124101351</v>
      </c>
      <c r="M26" s="95">
        <f t="shared" si="4"/>
        <v>4.7191686630249006</v>
      </c>
      <c r="N26" s="95">
        <f t="shared" si="5"/>
        <v>6.8144979476928995</v>
      </c>
      <c r="O26" s="95">
        <f t="shared" si="14"/>
        <v>4.7191686630249006</v>
      </c>
      <c r="P26" s="93">
        <f t="shared" si="15"/>
        <v>5.5294392903645795</v>
      </c>
      <c r="Q26" s="93">
        <f t="shared" si="16"/>
        <v>0.70631448944754094</v>
      </c>
      <c r="R26" s="93">
        <f t="shared" si="17"/>
        <v>0.54225103858018209</v>
      </c>
      <c r="S26" s="93">
        <f t="shared" si="18"/>
        <v>8.2941589355468697</v>
      </c>
      <c r="T26" s="93">
        <f t="shared" si="1"/>
        <v>0.16864667053834709</v>
      </c>
      <c r="U26" s="93">
        <f t="shared" si="12"/>
        <v>21.718641487798148</v>
      </c>
      <c r="V26" s="93">
        <f t="shared" si="11"/>
        <v>420.22512248202702</v>
      </c>
    </row>
    <row r="27" spans="1:22" x14ac:dyDescent="0.3">
      <c r="A27" s="11">
        <v>614762.5</v>
      </c>
      <c r="B27" s="11">
        <v>5344112.5</v>
      </c>
      <c r="C27" s="95">
        <v>5.5421447753906197</v>
      </c>
      <c r="D27" s="95">
        <v>10.5063018798828</v>
      </c>
      <c r="E27" s="95">
        <v>11.687460899353001</v>
      </c>
      <c r="F27" s="95">
        <v>11.706789970397899</v>
      </c>
      <c r="G27" s="94">
        <v>1.1863550171255999E-2</v>
      </c>
      <c r="H27" s="95">
        <f>(P27/$B$2+Q27+R27)*raster_calc!M27*$B$4</f>
        <v>7.7034089680915363</v>
      </c>
      <c r="I27" s="95">
        <f>(P27/$B$2+Q27+R27)*raster_calc!N27*$B$4</f>
        <v>7.2492641541740745</v>
      </c>
      <c r="J27" s="95">
        <f t="shared" si="13"/>
        <v>33.059182182252918</v>
      </c>
      <c r="K27" s="96">
        <f t="shared" si="0"/>
        <v>131.3693322887203</v>
      </c>
      <c r="L27" s="93">
        <f t="shared" si="3"/>
        <v>31.169806850911641</v>
      </c>
      <c r="M27" s="95">
        <f t="shared" si="4"/>
        <v>6.6874608993530007</v>
      </c>
      <c r="N27" s="95">
        <f t="shared" si="5"/>
        <v>6.2932100296021005</v>
      </c>
      <c r="O27" s="95">
        <f t="shared" si="14"/>
        <v>6.2932100296021005</v>
      </c>
      <c r="P27" s="93">
        <f t="shared" si="15"/>
        <v>7.0042012532552</v>
      </c>
      <c r="Q27" s="93">
        <f t="shared" si="16"/>
        <v>0.64343004070737597</v>
      </c>
      <c r="R27" s="93">
        <f t="shared" si="17"/>
        <v>0.54225103858018209</v>
      </c>
      <c r="S27" s="93">
        <f t="shared" si="18"/>
        <v>10.5063018798828</v>
      </c>
      <c r="T27" s="93">
        <f t="shared" si="1"/>
        <v>0.15301760986271101</v>
      </c>
      <c r="U27" s="93">
        <f t="shared" si="12"/>
        <v>30.409567659425996</v>
      </c>
      <c r="V27" s="93">
        <f t="shared" si="11"/>
        <v>623.39613701823282</v>
      </c>
    </row>
    <row r="28" spans="1:22" x14ac:dyDescent="0.3">
      <c r="A28" s="11">
        <v>614787.5</v>
      </c>
      <c r="B28" s="11">
        <v>5334862.5</v>
      </c>
      <c r="C28" s="95">
        <v>2.9497222900390598</v>
      </c>
      <c r="D28" s="95">
        <v>7.3013458251953098</v>
      </c>
      <c r="E28" s="95">
        <v>9.1874217987060494</v>
      </c>
      <c r="F28" s="95">
        <v>11.6670522689819</v>
      </c>
      <c r="G28" s="94">
        <v>4.5637637376789997E-3</v>
      </c>
      <c r="H28" s="95">
        <f>(P28/$B$2+Q28+R28)*raster_calc!M28*$B$4</f>
        <v>5.8881841010376501</v>
      </c>
      <c r="I28" s="95">
        <f>(P28/$B$2+Q28+R28)*raster_calc!N28*$B$4</f>
        <v>8.9051363667271453</v>
      </c>
      <c r="J28" s="95">
        <f t="shared" si="13"/>
        <v>15.286907334157123</v>
      </c>
      <c r="K28" s="96">
        <f t="shared" si="0"/>
        <v>56.075794176269419</v>
      </c>
      <c r="L28" s="93">
        <f t="shared" si="3"/>
        <v>11.142746666032448</v>
      </c>
      <c r="M28" s="95">
        <f t="shared" si="4"/>
        <v>4.1874217987060494</v>
      </c>
      <c r="N28" s="95">
        <f t="shared" si="5"/>
        <v>6.3329477310181002</v>
      </c>
      <c r="O28" s="95">
        <f t="shared" si="14"/>
        <v>4.1874217987060494</v>
      </c>
      <c r="P28" s="93">
        <f t="shared" si="15"/>
        <v>4.8675638834635393</v>
      </c>
      <c r="Q28" s="93">
        <f t="shared" si="16"/>
        <v>1.0892504693924503</v>
      </c>
      <c r="R28" s="93">
        <f t="shared" si="17"/>
        <v>0.54225103858018209</v>
      </c>
      <c r="S28" s="93">
        <f t="shared" si="18"/>
        <v>7.3013458251953098</v>
      </c>
      <c r="T28" s="93">
        <f t="shared" si="1"/>
        <v>0.24671023841971743</v>
      </c>
      <c r="U28" s="93">
        <f t="shared" si="12"/>
        <v>12.980507911173476</v>
      </c>
      <c r="V28" s="93">
        <f t="shared" si="11"/>
        <v>222.85493332064894</v>
      </c>
    </row>
  </sheetData>
  <mergeCells count="4">
    <mergeCell ref="A12:G12"/>
    <mergeCell ref="H12:L12"/>
    <mergeCell ref="M12:V12"/>
    <mergeCell ref="I1:K1"/>
  </mergeCells>
  <pageMargins left="0.7" right="0.7" top="0.78740157499999996" bottom="0.78740157499999996" header="0.3" footer="0.3"/>
  <pageSetup paperSize="9" scale="75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F9" sqref="F9"/>
    </sheetView>
  </sheetViews>
  <sheetFormatPr baseColWidth="10" defaultRowHeight="14.25" x14ac:dyDescent="0.2"/>
  <cols>
    <col min="1" max="1" width="8.875" bestFit="1" customWidth="1"/>
    <col min="2" max="2" width="9.875" bestFit="1" customWidth="1"/>
    <col min="3" max="3" width="16.125" bestFit="1" customWidth="1"/>
    <col min="4" max="4" width="12.5" bestFit="1" customWidth="1"/>
    <col min="7" max="7" width="15" bestFit="1" customWidth="1"/>
  </cols>
  <sheetData>
    <row r="1" spans="1:7" x14ac:dyDescent="0.2">
      <c r="A1" t="s">
        <v>119</v>
      </c>
      <c r="B1" t="s">
        <v>120</v>
      </c>
      <c r="C1" t="s">
        <v>139</v>
      </c>
      <c r="D1" t="s">
        <v>140</v>
      </c>
      <c r="E1" t="s">
        <v>142</v>
      </c>
      <c r="F1" t="s">
        <v>143</v>
      </c>
      <c r="G1" s="113" t="s">
        <v>141</v>
      </c>
    </row>
    <row r="2" spans="1:7" x14ac:dyDescent="0.2">
      <c r="A2">
        <v>599312.5</v>
      </c>
      <c r="B2">
        <v>5351587.5</v>
      </c>
      <c r="C2">
        <v>1.84013366699218</v>
      </c>
      <c r="D2">
        <v>3.7344512939453098</v>
      </c>
      <c r="E2">
        <v>11.102993965148899</v>
      </c>
      <c r="F2">
        <v>12.7072944641113</v>
      </c>
      <c r="G2" s="113">
        <v>3.3799507655199999E-3</v>
      </c>
    </row>
    <row r="3" spans="1:7" x14ac:dyDescent="0.2">
      <c r="A3">
        <v>600087.5</v>
      </c>
      <c r="B3">
        <v>5351187.5</v>
      </c>
      <c r="C3">
        <v>2.84568786621093</v>
      </c>
      <c r="D3">
        <v>4.5359954833984304</v>
      </c>
      <c r="E3">
        <v>11.0319557189941</v>
      </c>
      <c r="F3">
        <v>13.029191970825099</v>
      </c>
      <c r="G3" s="113">
        <v>3.5692565143109999E-3</v>
      </c>
    </row>
    <row r="4" spans="1:7" x14ac:dyDescent="0.2">
      <c r="A4">
        <v>600462.5</v>
      </c>
      <c r="B4">
        <v>5350612.5</v>
      </c>
      <c r="C4">
        <v>3.58184814453125</v>
      </c>
      <c r="D4">
        <v>4.9332427978515598</v>
      </c>
      <c r="E4">
        <v>11.1187753677368</v>
      </c>
      <c r="F4">
        <v>13.013983726501399</v>
      </c>
      <c r="G4" s="113">
        <v>3.562264610082E-3</v>
      </c>
    </row>
    <row r="5" spans="1:7" x14ac:dyDescent="0.2">
      <c r="A5">
        <v>600587.5</v>
      </c>
      <c r="B5">
        <v>5350437.5</v>
      </c>
      <c r="C5">
        <v>4.1424865722656197</v>
      </c>
      <c r="D5">
        <v>4.8848114013671804</v>
      </c>
      <c r="E5">
        <v>11.151125907897899</v>
      </c>
      <c r="F5">
        <v>12.983110427856399</v>
      </c>
      <c r="G5" s="113">
        <v>3.5505217965690001E-3</v>
      </c>
    </row>
    <row r="6" spans="1:7" x14ac:dyDescent="0.2">
      <c r="A6">
        <v>607262.5</v>
      </c>
      <c r="B6">
        <v>5344912.5</v>
      </c>
      <c r="C6">
        <v>5.6717681884765598</v>
      </c>
      <c r="D6">
        <v>6.4263458251953098</v>
      </c>
      <c r="E6">
        <v>12.244518280029199</v>
      </c>
      <c r="F6">
        <v>14.2064657211303</v>
      </c>
      <c r="G6" s="113">
        <v>9.0237222611899998E-3</v>
      </c>
    </row>
    <row r="7" spans="1:7" x14ac:dyDescent="0.2">
      <c r="A7">
        <v>607262.5</v>
      </c>
      <c r="B7">
        <v>5349712.5</v>
      </c>
      <c r="C7">
        <v>6.430419921875</v>
      </c>
      <c r="D7">
        <v>9.3376007080078107</v>
      </c>
      <c r="E7">
        <v>12.8732051849365</v>
      </c>
      <c r="F7">
        <v>12.5471944808959</v>
      </c>
      <c r="G7" s="113">
        <v>4.3647228740159999E-3</v>
      </c>
    </row>
    <row r="8" spans="1:7" x14ac:dyDescent="0.2">
      <c r="A8">
        <v>607287.5</v>
      </c>
      <c r="B8">
        <v>5343112.5</v>
      </c>
      <c r="C8">
        <v>5.0956268310546804</v>
      </c>
      <c r="D8">
        <v>5.8274841308593697</v>
      </c>
      <c r="E8">
        <v>12.40452003479</v>
      </c>
      <c r="F8">
        <v>13.583035469055099</v>
      </c>
      <c r="G8" s="113">
        <v>8.8341152295469995E-3</v>
      </c>
    </row>
    <row r="9" spans="1:7" x14ac:dyDescent="0.2">
      <c r="A9">
        <v>613087.5</v>
      </c>
      <c r="B9">
        <v>5346012.5</v>
      </c>
      <c r="C9">
        <v>3.8035583496093701</v>
      </c>
      <c r="D9">
        <v>9.9365386962890607</v>
      </c>
      <c r="E9">
        <v>11.1900310516357</v>
      </c>
      <c r="F9">
        <v>12.6617994308471</v>
      </c>
      <c r="G9" s="113">
        <v>7.8902319073679995E-3</v>
      </c>
    </row>
    <row r="10" spans="1:7" x14ac:dyDescent="0.2">
      <c r="A10">
        <v>613112.5</v>
      </c>
      <c r="B10">
        <v>5335387.5</v>
      </c>
      <c r="C10">
        <v>6.7222747802734304</v>
      </c>
      <c r="D10">
        <v>12.3435821533203</v>
      </c>
      <c r="E10">
        <v>10.357756614685</v>
      </c>
      <c r="F10">
        <v>13.363186836242599</v>
      </c>
      <c r="G10" s="113">
        <v>3.414790146053E-3</v>
      </c>
    </row>
    <row r="11" spans="1:7" x14ac:dyDescent="0.2">
      <c r="A11">
        <v>613112.5</v>
      </c>
      <c r="B11">
        <v>5340187.5</v>
      </c>
      <c r="C11">
        <v>4.8727722167968697</v>
      </c>
      <c r="D11">
        <v>9.4244842529296804</v>
      </c>
      <c r="E11">
        <v>10.922061920166</v>
      </c>
      <c r="F11">
        <v>11.478038787841699</v>
      </c>
      <c r="G11" s="113">
        <v>1.1967006139457E-2</v>
      </c>
    </row>
    <row r="12" spans="1:7" x14ac:dyDescent="0.2">
      <c r="A12">
        <v>613112.5</v>
      </c>
      <c r="B12">
        <v>5345062.5</v>
      </c>
      <c r="C12">
        <v>5.16021728515625</v>
      </c>
      <c r="D12">
        <v>4.6412353515625</v>
      </c>
      <c r="E12">
        <v>11.344869613647401</v>
      </c>
      <c r="F12">
        <v>12.8189678192138</v>
      </c>
      <c r="G12" s="113">
        <v>1.1147681623697E-2</v>
      </c>
    </row>
    <row r="13" spans="1:7" x14ac:dyDescent="0.2">
      <c r="A13">
        <v>613112.5</v>
      </c>
      <c r="B13">
        <v>5349862.5</v>
      </c>
      <c r="C13">
        <v>4.9707946777343697</v>
      </c>
      <c r="D13">
        <v>17.0003051757812</v>
      </c>
      <c r="E13">
        <v>11.9690904617309</v>
      </c>
      <c r="F13">
        <v>12.643898010253899</v>
      </c>
      <c r="G13" s="113">
        <v>1.1307903565466E-2</v>
      </c>
    </row>
    <row r="14" spans="1:7" x14ac:dyDescent="0.2">
      <c r="A14">
        <v>614762.5</v>
      </c>
      <c r="B14">
        <v>5337412.5</v>
      </c>
      <c r="C14">
        <v>5.3679046630859304</v>
      </c>
      <c r="D14">
        <v>8.2941589355468697</v>
      </c>
      <c r="E14">
        <v>9.7191686630249006</v>
      </c>
      <c r="F14">
        <v>11.1855020523071</v>
      </c>
      <c r="G14" s="113">
        <v>9.7665674984460001E-3</v>
      </c>
    </row>
    <row r="15" spans="1:7" x14ac:dyDescent="0.2">
      <c r="A15">
        <v>614762.5</v>
      </c>
      <c r="B15">
        <v>5344112.5</v>
      </c>
      <c r="C15">
        <v>5.5421447753906197</v>
      </c>
      <c r="D15">
        <v>10.5063018798828</v>
      </c>
      <c r="E15">
        <v>11.687460899353001</v>
      </c>
      <c r="F15">
        <v>11.706789970397899</v>
      </c>
      <c r="G15" s="113">
        <v>1.1863550171255999E-2</v>
      </c>
    </row>
    <row r="16" spans="1:7" x14ac:dyDescent="0.2">
      <c r="A16">
        <v>614787.5</v>
      </c>
      <c r="B16">
        <v>5334862.5</v>
      </c>
      <c r="C16">
        <v>2.9497222900390598</v>
      </c>
      <c r="D16">
        <v>7.3013458251953098</v>
      </c>
      <c r="E16">
        <v>9.1874217987060494</v>
      </c>
      <c r="F16">
        <v>11.6670522689819</v>
      </c>
      <c r="G16" s="113">
        <v>4.5637637376789997E-3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C6" sqref="C6"/>
    </sheetView>
  </sheetViews>
  <sheetFormatPr baseColWidth="10" defaultRowHeight="14.25" x14ac:dyDescent="0.2"/>
  <sheetData>
    <row r="1" spans="1:7" ht="15.75" x14ac:dyDescent="0.3">
      <c r="A1" s="97" t="s">
        <v>119</v>
      </c>
      <c r="B1" s="97" t="s">
        <v>120</v>
      </c>
      <c r="C1" s="86" t="s">
        <v>125</v>
      </c>
      <c r="D1" s="86" t="s">
        <v>126</v>
      </c>
      <c r="E1" s="87" t="s">
        <v>127</v>
      </c>
      <c r="F1" s="88" t="s">
        <v>128</v>
      </c>
      <c r="G1" s="89" t="s">
        <v>129</v>
      </c>
    </row>
    <row r="2" spans="1:7" ht="15.75" x14ac:dyDescent="0.3">
      <c r="A2" s="11">
        <v>599312.5</v>
      </c>
      <c r="B2" s="11">
        <v>5351587.5</v>
      </c>
      <c r="C2" s="95">
        <v>9.1678061108023066</v>
      </c>
      <c r="D2" s="95">
        <v>7.9506056259739033</v>
      </c>
      <c r="E2" s="95">
        <v>9.8826755184855308</v>
      </c>
      <c r="F2" s="96">
        <v>24.143218762100332</v>
      </c>
      <c r="G2" s="93">
        <v>5.7284257479520457</v>
      </c>
    </row>
    <row r="3" spans="1:7" ht="15.75" x14ac:dyDescent="0.3">
      <c r="A3" s="11">
        <v>600087.5</v>
      </c>
      <c r="B3" s="11">
        <v>5351187.5</v>
      </c>
      <c r="C3" s="95">
        <v>8.8889571906309097</v>
      </c>
      <c r="D3" s="95">
        <v>7.325202941235867</v>
      </c>
      <c r="E3" s="95">
        <v>11.273781384589</v>
      </c>
      <c r="F3" s="96">
        <v>30.374412255831814</v>
      </c>
      <c r="G3" s="93">
        <v>7.206891796811945</v>
      </c>
    </row>
    <row r="4" spans="1:7" ht="15.75" x14ac:dyDescent="0.3">
      <c r="A4" s="11">
        <v>600462.5</v>
      </c>
      <c r="B4" s="11">
        <v>5350612.5</v>
      </c>
      <c r="C4" s="95">
        <v>8.2522940122398154</v>
      </c>
      <c r="D4" s="95">
        <v>6.7245600248178103</v>
      </c>
      <c r="E4" s="95">
        <v>12.298614435603822</v>
      </c>
      <c r="F4" s="96">
        <v>33.085498005986011</v>
      </c>
      <c r="G4" s="93">
        <v>7.8501470963276994</v>
      </c>
    </row>
    <row r="5" spans="1:7" ht="15.75" x14ac:dyDescent="0.3">
      <c r="A5" s="11">
        <v>600587.5</v>
      </c>
      <c r="B5" s="11">
        <v>5350437.5</v>
      </c>
      <c r="C5" s="95">
        <v>7.7734881107935072</v>
      </c>
      <c r="D5" s="95">
        <v>6.340096435377589</v>
      </c>
      <c r="E5" s="95">
        <v>12.253279690703586</v>
      </c>
      <c r="F5" s="96">
        <v>32.695609656982256</v>
      </c>
      <c r="G5" s="93">
        <v>7.7576388653719466</v>
      </c>
    </row>
    <row r="6" spans="1:7" ht="15.75" x14ac:dyDescent="0.3">
      <c r="A6" s="11">
        <v>607262.5</v>
      </c>
      <c r="B6" s="11">
        <v>5344912.5</v>
      </c>
      <c r="C6" s="95">
        <v>8.0338291905019901</v>
      </c>
      <c r="D6" s="95">
        <v>4.2068506485472597</v>
      </c>
      <c r="E6" s="95">
        <v>12.189281587874799</v>
      </c>
      <c r="F6" s="96">
        <v>69.630347555332932</v>
      </c>
      <c r="G6" s="93">
        <v>16.521089408383389</v>
      </c>
    </row>
    <row r="7" spans="1:7" ht="15.75" x14ac:dyDescent="0.3">
      <c r="A7" s="11">
        <v>607262.5</v>
      </c>
      <c r="B7" s="11">
        <v>5349712.5</v>
      </c>
      <c r="C7" s="95">
        <v>8.580855362234864</v>
      </c>
      <c r="D7" s="95">
        <v>5.942908177644</v>
      </c>
      <c r="E7" s="95">
        <v>25.458060337907668</v>
      </c>
      <c r="F7" s="96">
        <v>70.374930000187589</v>
      </c>
      <c r="G7" s="93">
        <v>16.697755381988951</v>
      </c>
    </row>
    <row r="8" spans="1:7" ht="15.75" x14ac:dyDescent="0.3">
      <c r="A8" s="11">
        <v>607287.5</v>
      </c>
      <c r="B8" s="11">
        <v>5343112.5</v>
      </c>
      <c r="C8" s="95">
        <v>8.5446533699507992</v>
      </c>
      <c r="D8" s="95">
        <v>5.0970799845181158</v>
      </c>
      <c r="E8" s="95">
        <v>12.869895355325053</v>
      </c>
      <c r="F8" s="96">
        <v>62.375675755965332</v>
      </c>
      <c r="G8" s="93">
        <v>14.799784178209363</v>
      </c>
    </row>
    <row r="9" spans="1:7" ht="15.75" x14ac:dyDescent="0.3">
      <c r="A9" s="11">
        <v>613087.5</v>
      </c>
      <c r="B9" s="11">
        <v>5346012.5</v>
      </c>
      <c r="C9" s="95">
        <v>7.935872052383635</v>
      </c>
      <c r="D9" s="95">
        <v>6.8437906616905453</v>
      </c>
      <c r="E9" s="95">
        <v>26.521618261970037</v>
      </c>
      <c r="F9" s="96">
        <v>101.10464937768688</v>
      </c>
      <c r="G9" s="93">
        <v>23.988950373178024</v>
      </c>
    </row>
    <row r="10" spans="1:7" ht="15.75" x14ac:dyDescent="0.3">
      <c r="A10" s="11">
        <v>613112.5</v>
      </c>
      <c r="B10" s="11">
        <v>5335387.5</v>
      </c>
      <c r="C10" s="95">
        <v>6.0112213564306618</v>
      </c>
      <c r="D10" s="95">
        <v>5.2023472360354779</v>
      </c>
      <c r="E10" s="95">
        <v>28.617442108218242</v>
      </c>
      <c r="F10" s="96">
        <v>82.449412443849894</v>
      </c>
      <c r="G10" s="93">
        <v>19.562649943274575</v>
      </c>
    </row>
    <row r="11" spans="1:7" ht="15.75" x14ac:dyDescent="0.3">
      <c r="A11" s="11">
        <v>613112.5</v>
      </c>
      <c r="B11" s="11">
        <v>5340187.5</v>
      </c>
      <c r="C11" s="95">
        <v>7.0331122375086306</v>
      </c>
      <c r="D11" s="95">
        <v>7.7455598796747154</v>
      </c>
      <c r="E11" s="95">
        <v>27.906189655739482</v>
      </c>
      <c r="F11" s="96">
        <v>118.25967530692331</v>
      </c>
      <c r="G11" s="93">
        <v>28.059297960554723</v>
      </c>
    </row>
    <row r="12" spans="1:7" ht="15.75" x14ac:dyDescent="0.3">
      <c r="A12" s="11">
        <v>613112.5</v>
      </c>
      <c r="B12" s="11">
        <v>5345062.5</v>
      </c>
      <c r="C12" s="95">
        <v>7.2737675352092594</v>
      </c>
      <c r="D12" s="95">
        <v>5.9395426494529975</v>
      </c>
      <c r="E12" s="95">
        <v>12.023194857523933</v>
      </c>
      <c r="F12" s="96">
        <v>55.70418985773582</v>
      </c>
      <c r="G12" s="93">
        <v>13.216850602819264</v>
      </c>
    </row>
    <row r="13" spans="1:7" ht="15.75" x14ac:dyDescent="0.3">
      <c r="A13" s="11">
        <v>613112.5</v>
      </c>
      <c r="B13" s="11">
        <v>5349862.5</v>
      </c>
      <c r="C13" s="95">
        <v>8.775508888952734</v>
      </c>
      <c r="D13" s="95">
        <v>6.7444268200072131</v>
      </c>
      <c r="E13" s="95">
        <v>45.527684189146306</v>
      </c>
      <c r="F13" s="96">
        <v>208.09044663521962</v>
      </c>
      <c r="G13" s="93">
        <v>49.373311990995383</v>
      </c>
    </row>
    <row r="14" spans="1:7" ht="15.75" x14ac:dyDescent="0.3">
      <c r="A14" s="11">
        <v>614762.5</v>
      </c>
      <c r="B14" s="11">
        <v>5337412.5</v>
      </c>
      <c r="C14" s="95">
        <v>5.3976818585706958</v>
      </c>
      <c r="D14" s="95">
        <v>7.7942736473318366</v>
      </c>
      <c r="E14" s="95">
        <v>19.570767467390375</v>
      </c>
      <c r="F14" s="96">
        <v>93.824531227287991</v>
      </c>
      <c r="G14" s="93">
        <v>22.261607524993099</v>
      </c>
    </row>
    <row r="15" spans="1:7" ht="15.75" x14ac:dyDescent="0.3">
      <c r="A15" s="11">
        <v>614762.5</v>
      </c>
      <c r="B15" s="11">
        <v>5344112.5</v>
      </c>
      <c r="C15" s="95">
        <v>7.7034089680915363</v>
      </c>
      <c r="D15" s="95">
        <v>7.2492641541740745</v>
      </c>
      <c r="E15" s="95">
        <v>33.059182182252918</v>
      </c>
      <c r="F15" s="96">
        <v>131.3693322887203</v>
      </c>
      <c r="G15" s="93">
        <v>31.169806850911641</v>
      </c>
    </row>
    <row r="16" spans="1:7" ht="15.75" x14ac:dyDescent="0.3">
      <c r="A16" s="11">
        <v>614787.5</v>
      </c>
      <c r="B16" s="11">
        <v>5334862.5</v>
      </c>
      <c r="C16" s="95">
        <v>5.8881841010376501</v>
      </c>
      <c r="D16" s="95">
        <v>8.9051363667271453</v>
      </c>
      <c r="E16" s="95">
        <v>15.286907334157123</v>
      </c>
      <c r="F16" s="96">
        <v>56.075794176269419</v>
      </c>
      <c r="G16" s="93">
        <v>13.305020608952811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4</vt:i4>
      </vt:variant>
    </vt:vector>
  </HeadingPairs>
  <TitlesOfParts>
    <vt:vector size="8" baseType="lpstr">
      <vt:lpstr>one_area</vt:lpstr>
      <vt:lpstr>raster_calc</vt:lpstr>
      <vt:lpstr>import</vt:lpstr>
      <vt:lpstr>export</vt:lpstr>
      <vt:lpstr>import!ALL_2</vt:lpstr>
      <vt:lpstr>one_area!Druckbereich</vt:lpstr>
      <vt:lpstr>raster_calc!GWD2_</vt:lpstr>
      <vt:lpstr>raster_calc!SZ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Konstanze Zschoke</dc:creator>
  <cp:lastModifiedBy>Martin</cp:lastModifiedBy>
  <cp:lastPrinted>2019-05-02T07:24:48Z</cp:lastPrinted>
  <dcterms:created xsi:type="dcterms:W3CDTF">2016-05-04T13:17:33Z</dcterms:created>
  <dcterms:modified xsi:type="dcterms:W3CDTF">2019-05-02T07:25:40Z</dcterms:modified>
</cp:coreProperties>
</file>